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21570" windowHeight="8055" activeTab="1"/>
  </bookViews>
  <sheets>
    <sheet name="приложение 5" sheetId="3" r:id="rId1"/>
    <sheet name="приложение 6" sheetId="1" r:id="rId2"/>
    <sheet name="приложение 7" sheetId="2" r:id="rId3"/>
  </sheets>
  <definedNames>
    <definedName name="_xlnm._FilterDatabase" localSheetId="1" hidden="1">'приложение 6'!$A$17:$M$802</definedName>
    <definedName name="_xlnm.Print_Titles" localSheetId="0">'приложение 5'!$15:$16</definedName>
    <definedName name="_xlnm.Print_Titles" localSheetId="1">'приложение 6'!$15:$16</definedName>
    <definedName name="_xlnm.Print_Titles" localSheetId="2">'приложение 7'!$13:$14</definedName>
    <definedName name="_xlnm.Print_Area" localSheetId="0">'приложение 5'!$A$1:$F$67</definedName>
    <definedName name="_xlnm.Print_Area" localSheetId="1">'приложение 6'!$A$1:$I$802</definedName>
    <definedName name="_xlnm.Print_Area" localSheetId="2">'приложение 7'!$A$1:$H$287</definedName>
  </definedNames>
  <calcPr calcId="125725"/>
</workbook>
</file>

<file path=xl/calcChain.xml><?xml version="1.0" encoding="utf-8"?>
<calcChain xmlns="http://schemas.openxmlformats.org/spreadsheetml/2006/main">
  <c r="G786" i="1"/>
  <c r="G784"/>
  <c r="G769"/>
  <c r="G454"/>
  <c r="G507"/>
  <c r="G504"/>
  <c r="G433"/>
  <c r="G253" i="2"/>
  <c r="H253"/>
  <c r="F253"/>
  <c r="C253"/>
  <c r="G255" i="1"/>
  <c r="H260"/>
  <c r="H259" s="1"/>
  <c r="I260"/>
  <c r="I259" s="1"/>
  <c r="G259"/>
  <c r="G260"/>
  <c r="G51"/>
  <c r="G697"/>
  <c r="J808"/>
  <c r="G709"/>
  <c r="G730"/>
  <c r="G728"/>
  <c r="G657"/>
  <c r="G684"/>
  <c r="G691"/>
  <c r="G749"/>
  <c r="G745"/>
  <c r="G670"/>
  <c r="G639"/>
  <c r="G681"/>
  <c r="H244"/>
  <c r="G288"/>
  <c r="G292"/>
  <c r="G362"/>
  <c r="G400"/>
  <c r="G395"/>
  <c r="G311"/>
  <c r="G305"/>
  <c r="G370"/>
  <c r="G241"/>
  <c r="G185" i="2"/>
  <c r="H185"/>
  <c r="F185"/>
  <c r="C185"/>
  <c r="H80" i="1"/>
  <c r="H79" s="1"/>
  <c r="I80"/>
  <c r="I79" s="1"/>
  <c r="G80"/>
  <c r="G79" s="1"/>
  <c r="G125"/>
  <c r="G132"/>
  <c r="G101"/>
  <c r="G31"/>
  <c r="G26"/>
  <c r="G24"/>
  <c r="G431"/>
  <c r="G410"/>
  <c r="G771"/>
  <c r="G456"/>
  <c r="I456"/>
  <c r="I454"/>
  <c r="H456"/>
  <c r="H454"/>
  <c r="G582"/>
  <c r="G536"/>
  <c r="G515"/>
  <c r="G210"/>
  <c r="G346"/>
  <c r="G347"/>
  <c r="G385"/>
  <c r="G382"/>
  <c r="G239" i="2"/>
  <c r="H239"/>
  <c r="F239"/>
  <c r="C239"/>
  <c r="H221" i="1"/>
  <c r="H220" s="1"/>
  <c r="I221"/>
  <c r="I220" s="1"/>
  <c r="G221"/>
  <c r="G220" s="1"/>
  <c r="G190" i="2"/>
  <c r="H190"/>
  <c r="F190"/>
  <c r="C190"/>
  <c r="H294" i="1"/>
  <c r="H293" s="1"/>
  <c r="I294"/>
  <c r="I293" s="1"/>
  <c r="G294"/>
  <c r="G293" s="1"/>
  <c r="G244"/>
  <c r="G263" i="2"/>
  <c r="H263"/>
  <c r="F263"/>
  <c r="C263"/>
  <c r="G252"/>
  <c r="H252"/>
  <c r="F252"/>
  <c r="C252"/>
  <c r="H257" i="1"/>
  <c r="H256" s="1"/>
  <c r="H255" s="1"/>
  <c r="H254" s="1"/>
  <c r="H253" s="1"/>
  <c r="H252" s="1"/>
  <c r="I257"/>
  <c r="I256" s="1"/>
  <c r="I255" s="1"/>
  <c r="I254" s="1"/>
  <c r="I253" s="1"/>
  <c r="I252" s="1"/>
  <c r="G257"/>
  <c r="G256" s="1"/>
  <c r="G254" s="1"/>
  <c r="G253" s="1"/>
  <c r="G252" s="1"/>
  <c r="G551" l="1"/>
  <c r="H469"/>
  <c r="G469"/>
  <c r="H467"/>
  <c r="G467"/>
  <c r="G116"/>
  <c r="G185"/>
  <c r="G412"/>
  <c r="G479"/>
  <c r="G477"/>
  <c r="G491"/>
  <c r="G495"/>
  <c r="G494" s="1"/>
  <c r="I495"/>
  <c r="I494" s="1"/>
  <c r="H495"/>
  <c r="H494" s="1"/>
  <c r="G797" l="1"/>
  <c r="G794"/>
  <c r="G694"/>
  <c r="G129" i="2"/>
  <c r="H129"/>
  <c r="F129"/>
  <c r="C129"/>
  <c r="H159" i="1"/>
  <c r="H158" s="1"/>
  <c r="H157" s="1"/>
  <c r="H156" s="1"/>
  <c r="I159"/>
  <c r="I158" s="1"/>
  <c r="I157" s="1"/>
  <c r="I156" s="1"/>
  <c r="G159"/>
  <c r="G158" s="1"/>
  <c r="G157" s="1"/>
  <c r="G156" s="1"/>
  <c r="C154" i="2"/>
  <c r="H121" i="1"/>
  <c r="H120" s="1"/>
  <c r="G154" i="2" s="1"/>
  <c r="I121" i="1"/>
  <c r="I120" s="1"/>
  <c r="H154" i="2" s="1"/>
  <c r="G121" i="1"/>
  <c r="G120" s="1"/>
  <c r="F154" i="2" s="1"/>
  <c r="G282"/>
  <c r="H282"/>
  <c r="F285"/>
  <c r="F284"/>
  <c r="F283"/>
  <c r="C283"/>
  <c r="H755" i="1"/>
  <c r="H754" s="1"/>
  <c r="H753" s="1"/>
  <c r="H752" s="1"/>
  <c r="H751" s="1"/>
  <c r="H750" s="1"/>
  <c r="I755"/>
  <c r="I754" s="1"/>
  <c r="I753" s="1"/>
  <c r="I752" s="1"/>
  <c r="I751" s="1"/>
  <c r="I750" s="1"/>
  <c r="G756"/>
  <c r="G758"/>
  <c r="G760"/>
  <c r="G755" l="1"/>
  <c r="G754" s="1"/>
  <c r="G753" s="1"/>
  <c r="G752" s="1"/>
  <c r="G751" s="1"/>
  <c r="G750" s="1"/>
  <c r="F282" i="2"/>
  <c r="G234"/>
  <c r="H234"/>
  <c r="F234"/>
  <c r="J195" i="1"/>
  <c r="G195"/>
  <c r="H178"/>
  <c r="H177" s="1"/>
  <c r="I178"/>
  <c r="I177" s="1"/>
  <c r="G178"/>
  <c r="G177" s="1"/>
  <c r="G71" i="2"/>
  <c r="H71"/>
  <c r="F71"/>
  <c r="C71"/>
  <c r="G176"/>
  <c r="H176"/>
  <c r="F176"/>
  <c r="G183"/>
  <c r="H183"/>
  <c r="F183"/>
  <c r="G240"/>
  <c r="H240"/>
  <c r="F240"/>
  <c r="C240"/>
  <c r="G235"/>
  <c r="H235"/>
  <c r="F235"/>
  <c r="C234"/>
  <c r="G278"/>
  <c r="H278"/>
  <c r="F278"/>
  <c r="C278"/>
  <c r="G135"/>
  <c r="H135"/>
  <c r="F135"/>
  <c r="C135"/>
  <c r="G134"/>
  <c r="H134"/>
  <c r="F134"/>
  <c r="C134"/>
  <c r="G133"/>
  <c r="H133"/>
  <c r="F133"/>
  <c r="C133"/>
  <c r="G184"/>
  <c r="H184"/>
  <c r="F184"/>
  <c r="C183"/>
  <c r="G121"/>
  <c r="H121"/>
  <c r="F121"/>
  <c r="C121"/>
  <c r="I268" i="1"/>
  <c r="H268"/>
  <c r="G340"/>
  <c r="H337"/>
  <c r="I337"/>
  <c r="G337"/>
  <c r="I388"/>
  <c r="H388"/>
  <c r="G388"/>
  <c r="G402"/>
  <c r="I370"/>
  <c r="H370"/>
  <c r="I353"/>
  <c r="H353"/>
  <c r="G353"/>
  <c r="I345"/>
  <c r="I344" s="1"/>
  <c r="H345"/>
  <c r="G345"/>
  <c r="G344" s="1"/>
  <c r="H344" l="1"/>
  <c r="H343" s="1"/>
  <c r="H342" s="1"/>
  <c r="I343"/>
  <c r="I342" s="1"/>
  <c r="G343"/>
  <c r="G342" s="1"/>
  <c r="H299" l="1"/>
  <c r="H287"/>
  <c r="H286" s="1"/>
  <c r="I287"/>
  <c r="I286" s="1"/>
  <c r="G287"/>
  <c r="G286" s="1"/>
  <c r="G276"/>
  <c r="G268"/>
  <c r="I233"/>
  <c r="H233"/>
  <c r="G233"/>
  <c r="I228"/>
  <c r="H228"/>
  <c r="G228"/>
  <c r="H224"/>
  <c r="H223" s="1"/>
  <c r="I224"/>
  <c r="I223" s="1"/>
  <c r="G224"/>
  <c r="G223" s="1"/>
  <c r="I249"/>
  <c r="H249"/>
  <c r="G249"/>
  <c r="H204"/>
  <c r="H194"/>
  <c r="H193" s="1"/>
  <c r="I194"/>
  <c r="I193" s="1"/>
  <c r="G194"/>
  <c r="G193" s="1"/>
  <c r="G189"/>
  <c r="G187"/>
  <c r="H164"/>
  <c r="H163" s="1"/>
  <c r="I164"/>
  <c r="I163" s="1"/>
  <c r="G164"/>
  <c r="G163" s="1"/>
  <c r="H112"/>
  <c r="H111" s="1"/>
  <c r="I112"/>
  <c r="I111" s="1"/>
  <c r="G112"/>
  <c r="G111" s="1"/>
  <c r="H109"/>
  <c r="H108" s="1"/>
  <c r="I109"/>
  <c r="I108" s="1"/>
  <c r="G109"/>
  <c r="G108" s="1"/>
  <c r="H106"/>
  <c r="H105" s="1"/>
  <c r="I106"/>
  <c r="I105" s="1"/>
  <c r="G106"/>
  <c r="G105" s="1"/>
  <c r="H95"/>
  <c r="G95"/>
  <c r="H92"/>
  <c r="G92"/>
  <c r="H85"/>
  <c r="H77"/>
  <c r="H76" s="1"/>
  <c r="H75" s="1"/>
  <c r="I77"/>
  <c r="I76" s="1"/>
  <c r="I75" s="1"/>
  <c r="G77"/>
  <c r="G76" s="1"/>
  <c r="G75" s="1"/>
  <c r="I65"/>
  <c r="H65"/>
  <c r="G65"/>
  <c r="H58"/>
  <c r="G58"/>
  <c r="I48"/>
  <c r="H48"/>
  <c r="G48"/>
  <c r="H33"/>
  <c r="H32" s="1"/>
  <c r="I33"/>
  <c r="I32" s="1"/>
  <c r="G33"/>
  <c r="G32" s="1"/>
  <c r="G225" i="2"/>
  <c r="H225"/>
  <c r="F225"/>
  <c r="C225"/>
  <c r="G52"/>
  <c r="H52"/>
  <c r="F52"/>
  <c r="C52"/>
  <c r="G45"/>
  <c r="H45"/>
  <c r="F45"/>
  <c r="C45"/>
  <c r="G37"/>
  <c r="H37"/>
  <c r="F37"/>
  <c r="C37"/>
  <c r="G24"/>
  <c r="H24"/>
  <c r="F24"/>
  <c r="C24"/>
  <c r="G104"/>
  <c r="H104"/>
  <c r="F104"/>
  <c r="C104"/>
  <c r="G44"/>
  <c r="H44"/>
  <c r="F44"/>
  <c r="C44"/>
  <c r="G43"/>
  <c r="H43"/>
  <c r="F43"/>
  <c r="C43"/>
  <c r="G258" l="1"/>
  <c r="H258"/>
  <c r="F258"/>
  <c r="G480" i="1"/>
  <c r="H734"/>
  <c r="H733" s="1"/>
  <c r="I734"/>
  <c r="I733" s="1"/>
  <c r="G734"/>
  <c r="G733" s="1"/>
  <c r="H722"/>
  <c r="G722"/>
  <c r="H712"/>
  <c r="H711" s="1"/>
  <c r="I712"/>
  <c r="I711" s="1"/>
  <c r="G712"/>
  <c r="G711" s="1"/>
  <c r="H716"/>
  <c r="G716"/>
  <c r="H702"/>
  <c r="H701" s="1"/>
  <c r="I702"/>
  <c r="I701" s="1"/>
  <c r="G702"/>
  <c r="G701" s="1"/>
  <c r="H686"/>
  <c r="H685" s="1"/>
  <c r="I686"/>
  <c r="I685" s="1"/>
  <c r="G686"/>
  <c r="G685" s="1"/>
  <c r="H659"/>
  <c r="H658" s="1"/>
  <c r="I659"/>
  <c r="I658" s="1"/>
  <c r="G659"/>
  <c r="G658" s="1"/>
  <c r="H644"/>
  <c r="H643" s="1"/>
  <c r="I644"/>
  <c r="I643" s="1"/>
  <c r="G644"/>
  <c r="G643" s="1"/>
  <c r="H641"/>
  <c r="H640" s="1"/>
  <c r="I641"/>
  <c r="I640" s="1"/>
  <c r="G641"/>
  <c r="G640" s="1"/>
  <c r="H775"/>
  <c r="H774" s="1"/>
  <c r="I775"/>
  <c r="I774" s="1"/>
  <c r="G775"/>
  <c r="G774" s="1"/>
  <c r="G215" i="2"/>
  <c r="H215"/>
  <c r="F215"/>
  <c r="G219"/>
  <c r="H219"/>
  <c r="C219"/>
  <c r="H799" i="1"/>
  <c r="H798" s="1"/>
  <c r="I799"/>
  <c r="I798" s="1"/>
  <c r="G800"/>
  <c r="F219" i="2" s="1"/>
  <c r="H787" i="1"/>
  <c r="I787"/>
  <c r="G787"/>
  <c r="C95" i="2"/>
  <c r="C87"/>
  <c r="C86"/>
  <c r="C68"/>
  <c r="G81"/>
  <c r="H81"/>
  <c r="F81"/>
  <c r="C81"/>
  <c r="G80"/>
  <c r="H80"/>
  <c r="F80"/>
  <c r="C80"/>
  <c r="C79"/>
  <c r="G78"/>
  <c r="H78"/>
  <c r="F78"/>
  <c r="C78"/>
  <c r="G77"/>
  <c r="H77"/>
  <c r="F77"/>
  <c r="C77"/>
  <c r="H562" i="1"/>
  <c r="H561" s="1"/>
  <c r="I562"/>
  <c r="I561" s="1"/>
  <c r="G562"/>
  <c r="G561" s="1"/>
  <c r="G623"/>
  <c r="H617"/>
  <c r="H616" s="1"/>
  <c r="I617"/>
  <c r="I616" s="1"/>
  <c r="G617"/>
  <c r="G616" s="1"/>
  <c r="H607"/>
  <c r="H606" s="1"/>
  <c r="G95" i="2" s="1"/>
  <c r="I607" i="1"/>
  <c r="I606" s="1"/>
  <c r="H95" i="2" s="1"/>
  <c r="G607" i="1"/>
  <c r="G606" s="1"/>
  <c r="F95" i="2" s="1"/>
  <c r="G605" i="1"/>
  <c r="G602"/>
  <c r="H587"/>
  <c r="H586" s="1"/>
  <c r="G87" i="2" s="1"/>
  <c r="I587" i="1"/>
  <c r="I586" s="1"/>
  <c r="H87" i="2" s="1"/>
  <c r="G587" i="1"/>
  <c r="G586" s="1"/>
  <c r="F87" i="2" s="1"/>
  <c r="H584" i="1"/>
  <c r="H583" s="1"/>
  <c r="G86" i="2" s="1"/>
  <c r="I584" i="1"/>
  <c r="I583" s="1"/>
  <c r="H86" i="2" s="1"/>
  <c r="G584" i="1"/>
  <c r="G583" s="1"/>
  <c r="F86" i="2" s="1"/>
  <c r="J572" i="1"/>
  <c r="J807" s="1"/>
  <c r="J809" s="1"/>
  <c r="H568"/>
  <c r="H567" s="1"/>
  <c r="I568"/>
  <c r="I567" s="1"/>
  <c r="G568"/>
  <c r="G567" s="1"/>
  <c r="H571"/>
  <c r="H570" s="1"/>
  <c r="I571"/>
  <c r="I570" s="1"/>
  <c r="G571"/>
  <c r="G570" s="1"/>
  <c r="H565"/>
  <c r="H564" s="1"/>
  <c r="I565"/>
  <c r="I564" s="1"/>
  <c r="G565"/>
  <c r="G564" s="1"/>
  <c r="G554"/>
  <c r="G545"/>
  <c r="I548"/>
  <c r="H548"/>
  <c r="G548"/>
  <c r="H541"/>
  <c r="H540" s="1"/>
  <c r="G68" i="2" s="1"/>
  <c r="I541" i="1"/>
  <c r="I540" s="1"/>
  <c r="H68" i="2" s="1"/>
  <c r="G541" i="1"/>
  <c r="G540" s="1"/>
  <c r="F68" i="2" s="1"/>
  <c r="G524" i="1"/>
  <c r="I521"/>
  <c r="H521"/>
  <c r="G521"/>
  <c r="G165" i="2"/>
  <c r="H165"/>
  <c r="F165"/>
  <c r="C165"/>
  <c r="H416" i="1"/>
  <c r="H415" s="1"/>
  <c r="I416"/>
  <c r="I415" s="1"/>
  <c r="G416"/>
  <c r="G415" s="1"/>
  <c r="G269" i="2"/>
  <c r="H269"/>
  <c r="F269"/>
  <c r="C269"/>
  <c r="H460" i="1"/>
  <c r="H459" s="1"/>
  <c r="I460"/>
  <c r="I459" s="1"/>
  <c r="G460"/>
  <c r="G459" s="1"/>
  <c r="G458"/>
  <c r="G264" i="2"/>
  <c r="H264"/>
  <c r="F264"/>
  <c r="C264"/>
  <c r="H498" i="1"/>
  <c r="H497" s="1"/>
  <c r="I498"/>
  <c r="I497" s="1"/>
  <c r="G498"/>
  <c r="G497" s="1"/>
  <c r="G29" i="2"/>
  <c r="H29"/>
  <c r="F29"/>
  <c r="C29"/>
  <c r="H437" i="1"/>
  <c r="H436" s="1"/>
  <c r="I437"/>
  <c r="I436" s="1"/>
  <c r="G437"/>
  <c r="G436" s="1"/>
  <c r="I444"/>
  <c r="H444"/>
  <c r="G444"/>
  <c r="I26"/>
  <c r="H26"/>
  <c r="I187"/>
  <c r="H187"/>
  <c r="G281" i="2"/>
  <c r="H281"/>
  <c r="F281"/>
  <c r="C281"/>
  <c r="H138" i="1"/>
  <c r="H137" s="1"/>
  <c r="H136" s="1"/>
  <c r="H135" s="1"/>
  <c r="H134" s="1"/>
  <c r="H133" s="1"/>
  <c r="I138"/>
  <c r="I137" s="1"/>
  <c r="I136" s="1"/>
  <c r="I135" s="1"/>
  <c r="I134" s="1"/>
  <c r="I133" s="1"/>
  <c r="G138"/>
  <c r="G137" s="1"/>
  <c r="G136" s="1"/>
  <c r="G135" s="1"/>
  <c r="G134" s="1"/>
  <c r="I241"/>
  <c r="H246" i="2" s="1"/>
  <c r="H241" i="1"/>
  <c r="G246" i="2" s="1"/>
  <c r="F246"/>
  <c r="I292" i="1"/>
  <c r="H292"/>
  <c r="G299"/>
  <c r="I423"/>
  <c r="H423"/>
  <c r="G423"/>
  <c r="I551"/>
  <c r="H551"/>
  <c r="I722"/>
  <c r="I666"/>
  <c r="H106" i="2" s="1"/>
  <c r="H666" i="1"/>
  <c r="G106" i="2" s="1"/>
  <c r="G666" i="1"/>
  <c r="F106" i="2" s="1"/>
  <c r="G799" i="1" l="1"/>
  <c r="G798" s="1"/>
  <c r="F79" i="2"/>
  <c r="H79"/>
  <c r="G79"/>
  <c r="G133" i="1"/>
  <c r="D62" i="3"/>
  <c r="D61" s="1"/>
  <c r="F62"/>
  <c r="F61" s="1"/>
  <c r="E62"/>
  <c r="E61" s="1"/>
  <c r="G251" i="2"/>
  <c r="H251"/>
  <c r="F251"/>
  <c r="G250"/>
  <c r="H250"/>
  <c r="F250"/>
  <c r="C251"/>
  <c r="C250"/>
  <c r="H384" i="1"/>
  <c r="H383" s="1"/>
  <c r="I384"/>
  <c r="I383" s="1"/>
  <c r="G384"/>
  <c r="G383" s="1"/>
  <c r="H381"/>
  <c r="H380" s="1"/>
  <c r="I381"/>
  <c r="I380" s="1"/>
  <c r="G381"/>
  <c r="G380" s="1"/>
  <c r="G156" i="2"/>
  <c r="H156"/>
  <c r="F156"/>
  <c r="C156"/>
  <c r="G155"/>
  <c r="G153" s="1"/>
  <c r="H155"/>
  <c r="H153" s="1"/>
  <c r="F155"/>
  <c r="C155"/>
  <c r="G151"/>
  <c r="H151"/>
  <c r="F151"/>
  <c r="C151"/>
  <c r="G150"/>
  <c r="G149" s="1"/>
  <c r="H150"/>
  <c r="F150"/>
  <c r="C150"/>
  <c r="H128" i="1"/>
  <c r="H127" s="1"/>
  <c r="I128"/>
  <c r="I127" s="1"/>
  <c r="G128"/>
  <c r="G127" s="1"/>
  <c r="G131"/>
  <c r="G130" s="1"/>
  <c r="G100"/>
  <c r="G99" s="1"/>
  <c r="G98" s="1"/>
  <c r="G97" s="1"/>
  <c r="G96" s="1"/>
  <c r="H124"/>
  <c r="H123" s="1"/>
  <c r="H119" s="1"/>
  <c r="H118" s="1"/>
  <c r="H117" s="1"/>
  <c r="E42" i="3" s="1"/>
  <c r="I124" i="1"/>
  <c r="I123" s="1"/>
  <c r="I119" s="1"/>
  <c r="I118" s="1"/>
  <c r="I117" s="1"/>
  <c r="F42" i="3" s="1"/>
  <c r="G124" i="1"/>
  <c r="G123" s="1"/>
  <c r="G119" s="1"/>
  <c r="F153" i="2" l="1"/>
  <c r="F149"/>
  <c r="H149"/>
  <c r="G126" i="1"/>
  <c r="G118" s="1"/>
  <c r="G117" s="1"/>
  <c r="D42" i="3" s="1"/>
  <c r="G76" i="2" l="1"/>
  <c r="H76"/>
  <c r="F76"/>
  <c r="C76"/>
  <c r="H559" i="1"/>
  <c r="H558" s="1"/>
  <c r="I559"/>
  <c r="I558" s="1"/>
  <c r="G559"/>
  <c r="G558" s="1"/>
  <c r="G89" i="2"/>
  <c r="H89"/>
  <c r="F89"/>
  <c r="C89"/>
  <c r="G64"/>
  <c r="H64"/>
  <c r="F64"/>
  <c r="C64"/>
  <c r="H593" i="1"/>
  <c r="H592" s="1"/>
  <c r="I593"/>
  <c r="I592" s="1"/>
  <c r="G593"/>
  <c r="G592" s="1"/>
  <c r="G529"/>
  <c r="G528" s="1"/>
  <c r="G233" i="2"/>
  <c r="H233"/>
  <c r="F233"/>
  <c r="C233"/>
  <c r="H209" i="1"/>
  <c r="H208" s="1"/>
  <c r="H207" s="1"/>
  <c r="H206" s="1"/>
  <c r="H205" s="1"/>
  <c r="E23" i="3" s="1"/>
  <c r="I209" i="1"/>
  <c r="I208" s="1"/>
  <c r="I207" s="1"/>
  <c r="I206" s="1"/>
  <c r="I205" s="1"/>
  <c r="F23" i="3" s="1"/>
  <c r="G209" i="1"/>
  <c r="G208" s="1"/>
  <c r="G207" s="1"/>
  <c r="G206" s="1"/>
  <c r="G205" s="1"/>
  <c r="D23" i="3" s="1"/>
  <c r="G143" i="2"/>
  <c r="H143"/>
  <c r="F143"/>
  <c r="G142"/>
  <c r="H142"/>
  <c r="F142"/>
  <c r="C142"/>
  <c r="G141"/>
  <c r="H141"/>
  <c r="F141"/>
  <c r="G140"/>
  <c r="H140"/>
  <c r="F140"/>
  <c r="C140"/>
  <c r="H401" i="1"/>
  <c r="I401"/>
  <c r="G401"/>
  <c r="H399"/>
  <c r="I399"/>
  <c r="G399"/>
  <c r="H396"/>
  <c r="I396"/>
  <c r="G396"/>
  <c r="H394"/>
  <c r="I394"/>
  <c r="G394"/>
  <c r="G139" i="2"/>
  <c r="H139"/>
  <c r="F139"/>
  <c r="G138"/>
  <c r="H138"/>
  <c r="F138"/>
  <c r="C138"/>
  <c r="H363" i="1"/>
  <c r="I363"/>
  <c r="H361"/>
  <c r="I361"/>
  <c r="G361"/>
  <c r="G363"/>
  <c r="G398" l="1"/>
  <c r="G360"/>
  <c r="D55" i="3" s="1"/>
  <c r="H398" i="1"/>
  <c r="H360"/>
  <c r="E55" i="3" s="1"/>
  <c r="I393" i="1"/>
  <c r="I398"/>
  <c r="I360"/>
  <c r="F55" i="3" s="1"/>
  <c r="G393" i="1"/>
  <c r="G137" i="2"/>
  <c r="H137"/>
  <c r="F137"/>
  <c r="H393" i="1"/>
  <c r="G205" i="2"/>
  <c r="G204" s="1"/>
  <c r="H205"/>
  <c r="H204" s="1"/>
  <c r="F205"/>
  <c r="F204" s="1"/>
  <c r="C205"/>
  <c r="H321" i="1"/>
  <c r="H320" s="1"/>
  <c r="H319" s="1"/>
  <c r="H318" s="1"/>
  <c r="H317" s="1"/>
  <c r="I321"/>
  <c r="I320" s="1"/>
  <c r="I319" s="1"/>
  <c r="I318" s="1"/>
  <c r="I317" s="1"/>
  <c r="G321"/>
  <c r="G320" s="1"/>
  <c r="G319" s="1"/>
  <c r="G318" s="1"/>
  <c r="G317" s="1"/>
  <c r="H359" l="1"/>
  <c r="H358" s="1"/>
  <c r="H357" s="1"/>
  <c r="G359"/>
  <c r="G358" s="1"/>
  <c r="G357" s="1"/>
  <c r="G392"/>
  <c r="G391" s="1"/>
  <c r="I359"/>
  <c r="I358" s="1"/>
  <c r="I357" s="1"/>
  <c r="H392"/>
  <c r="H391" s="1"/>
  <c r="I392"/>
  <c r="I391" s="1"/>
  <c r="G249" i="2"/>
  <c r="H249"/>
  <c r="F249"/>
  <c r="C249"/>
  <c r="G280"/>
  <c r="H280"/>
  <c r="F280"/>
  <c r="C280"/>
  <c r="H41" i="1"/>
  <c r="H40" s="1"/>
  <c r="H39" s="1"/>
  <c r="H38" s="1"/>
  <c r="I41"/>
  <c r="I40" s="1"/>
  <c r="I39" s="1"/>
  <c r="I38" s="1"/>
  <c r="G41"/>
  <c r="G40" s="1"/>
  <c r="G39" s="1"/>
  <c r="G38" s="1"/>
  <c r="H243"/>
  <c r="H242" s="1"/>
  <c r="I243"/>
  <c r="I242" s="1"/>
  <c r="G243"/>
  <c r="G242" s="1"/>
  <c r="G248" i="2"/>
  <c r="H248"/>
  <c r="F248"/>
  <c r="G247"/>
  <c r="H247"/>
  <c r="F247"/>
  <c r="C247"/>
  <c r="H387" i="1"/>
  <c r="I387"/>
  <c r="G387"/>
  <c r="H389"/>
  <c r="I389"/>
  <c r="G389"/>
  <c r="C195" i="2"/>
  <c r="G188"/>
  <c r="G187" s="1"/>
  <c r="H188"/>
  <c r="H187" s="1"/>
  <c r="F188"/>
  <c r="F187" s="1"/>
  <c r="C188"/>
  <c r="H386" i="1" l="1"/>
  <c r="I386"/>
  <c r="G386"/>
  <c r="H379" l="1"/>
  <c r="H378" s="1"/>
  <c r="H377" s="1"/>
  <c r="E58" i="3" s="1"/>
  <c r="I379" i="1"/>
  <c r="I378" s="1"/>
  <c r="I377" s="1"/>
  <c r="F58" i="3" s="1"/>
  <c r="G379" i="1"/>
  <c r="G378" s="1"/>
  <c r="G377" s="1"/>
  <c r="D58" i="3" s="1"/>
  <c r="H291" i="1"/>
  <c r="H290" s="1"/>
  <c r="H289" s="1"/>
  <c r="I291"/>
  <c r="I290" s="1"/>
  <c r="I289" s="1"/>
  <c r="G291"/>
  <c r="G290" s="1"/>
  <c r="G289" s="1"/>
  <c r="G236" i="2"/>
  <c r="H236"/>
  <c r="F236"/>
  <c r="C236"/>
  <c r="H197" i="1"/>
  <c r="H196" s="1"/>
  <c r="I197"/>
  <c r="I196" s="1"/>
  <c r="G197"/>
  <c r="G196" s="1"/>
  <c r="G122" i="2"/>
  <c r="H122"/>
  <c r="F122"/>
  <c r="C122"/>
  <c r="H36" i="1"/>
  <c r="H35" s="1"/>
  <c r="I36"/>
  <c r="I35" s="1"/>
  <c r="G36"/>
  <c r="G35" s="1"/>
  <c r="C172" i="2"/>
  <c r="G177"/>
  <c r="H177"/>
  <c r="F177"/>
  <c r="C176"/>
  <c r="G175"/>
  <c r="H175"/>
  <c r="F175"/>
  <c r="C174"/>
  <c r="G232"/>
  <c r="H232"/>
  <c r="F232"/>
  <c r="C232"/>
  <c r="G279"/>
  <c r="H279"/>
  <c r="F279"/>
  <c r="C279"/>
  <c r="H167" i="1"/>
  <c r="H166" s="1"/>
  <c r="H162" s="1"/>
  <c r="H161" s="1"/>
  <c r="I167"/>
  <c r="I166" s="1"/>
  <c r="I162" s="1"/>
  <c r="I161" s="1"/>
  <c r="G167"/>
  <c r="G166" s="1"/>
  <c r="G168" i="2"/>
  <c r="H168"/>
  <c r="F168"/>
  <c r="C168"/>
  <c r="H64" i="1"/>
  <c r="H63" s="1"/>
  <c r="H62" s="1"/>
  <c r="H61" s="1"/>
  <c r="H60" s="1"/>
  <c r="H59" s="1"/>
  <c r="E30" i="3" s="1"/>
  <c r="I64" i="1"/>
  <c r="I63" s="1"/>
  <c r="I62" s="1"/>
  <c r="I61" s="1"/>
  <c r="I60" s="1"/>
  <c r="I59" s="1"/>
  <c r="F30" i="3" s="1"/>
  <c r="G64" i="1"/>
  <c r="G63" s="1"/>
  <c r="G62" s="1"/>
  <c r="G61" s="1"/>
  <c r="G60" s="1"/>
  <c r="G59" s="1"/>
  <c r="D30" i="3" s="1"/>
  <c r="I355" i="1"/>
  <c r="H355"/>
  <c r="G355"/>
  <c r="H174" i="2"/>
  <c r="H173" s="1"/>
  <c r="G174"/>
  <c r="F174"/>
  <c r="H191" i="1"/>
  <c r="H190" s="1"/>
  <c r="I191"/>
  <c r="I190" s="1"/>
  <c r="G191"/>
  <c r="G190" s="1"/>
  <c r="G199" i="2"/>
  <c r="H199"/>
  <c r="F199"/>
  <c r="C199"/>
  <c r="G198"/>
  <c r="G197" s="1"/>
  <c r="H198"/>
  <c r="F198"/>
  <c r="F197" s="1"/>
  <c r="C198"/>
  <c r="C136"/>
  <c r="G120"/>
  <c r="H120"/>
  <c r="F120"/>
  <c r="C120"/>
  <c r="H94" i="1"/>
  <c r="H93" s="1"/>
  <c r="I94"/>
  <c r="I93" s="1"/>
  <c r="H91"/>
  <c r="H90" s="1"/>
  <c r="I91"/>
  <c r="I90" s="1"/>
  <c r="G91"/>
  <c r="G90" s="1"/>
  <c r="G94"/>
  <c r="G93" s="1"/>
  <c r="H30"/>
  <c r="H29" s="1"/>
  <c r="I30"/>
  <c r="I29" s="1"/>
  <c r="G30"/>
  <c r="G29" s="1"/>
  <c r="G257" i="2"/>
  <c r="H257"/>
  <c r="F257"/>
  <c r="G478" i="1"/>
  <c r="F173" i="2" l="1"/>
  <c r="G173"/>
  <c r="G162" i="1"/>
  <c r="G161" s="1"/>
  <c r="H197" i="2"/>
  <c r="G89" i="1"/>
  <c r="G88" s="1"/>
  <c r="G87" s="1"/>
  <c r="D39" i="3" s="1"/>
  <c r="H89" i="1"/>
  <c r="H88" s="1"/>
  <c r="H87" s="1"/>
  <c r="E39" i="3" s="1"/>
  <c r="I89" i="1"/>
  <c r="I88" s="1"/>
  <c r="I87" s="1"/>
  <c r="F39" i="3" s="1"/>
  <c r="G72" i="2" l="1"/>
  <c r="H72"/>
  <c r="F72"/>
  <c r="C72"/>
  <c r="H550" i="1"/>
  <c r="H549" s="1"/>
  <c r="I550"/>
  <c r="I549" s="1"/>
  <c r="G550"/>
  <c r="G549" s="1"/>
  <c r="I578"/>
  <c r="I577" s="1"/>
  <c r="I576" s="1"/>
  <c r="I575" s="1"/>
  <c r="H578"/>
  <c r="H577" s="1"/>
  <c r="H576" s="1"/>
  <c r="H575" s="1"/>
  <c r="G578"/>
  <c r="G577" s="1"/>
  <c r="G576" s="1"/>
  <c r="G575" s="1"/>
  <c r="G55" i="2"/>
  <c r="H55"/>
  <c r="F55"/>
  <c r="C55"/>
  <c r="G53"/>
  <c r="H53"/>
  <c r="F53"/>
  <c r="G54"/>
  <c r="H54"/>
  <c r="F54"/>
  <c r="C53"/>
  <c r="G51"/>
  <c r="H51"/>
  <c r="F51"/>
  <c r="C51"/>
  <c r="G50"/>
  <c r="H50"/>
  <c r="F50"/>
  <c r="C50"/>
  <c r="G40"/>
  <c r="H40"/>
  <c r="F40"/>
  <c r="C40"/>
  <c r="G39"/>
  <c r="H39"/>
  <c r="F39"/>
  <c r="C39"/>
  <c r="C38"/>
  <c r="G105"/>
  <c r="H105"/>
  <c r="F105"/>
  <c r="C105"/>
  <c r="H737" i="1"/>
  <c r="H736" s="1"/>
  <c r="I737"/>
  <c r="I736" s="1"/>
  <c r="G737"/>
  <c r="G736" s="1"/>
  <c r="H662"/>
  <c r="H661" s="1"/>
  <c r="I662"/>
  <c r="I661" s="1"/>
  <c r="G662"/>
  <c r="G661" s="1"/>
  <c r="H647"/>
  <c r="H646" s="1"/>
  <c r="I647"/>
  <c r="I646" s="1"/>
  <c r="G647"/>
  <c r="G646" s="1"/>
  <c r="G74" i="2" l="1"/>
  <c r="H74"/>
  <c r="F74"/>
  <c r="H708" i="1"/>
  <c r="H707" s="1"/>
  <c r="I708"/>
  <c r="I707" s="1"/>
  <c r="G708"/>
  <c r="G707" s="1"/>
  <c r="H705"/>
  <c r="H704" s="1"/>
  <c r="I705"/>
  <c r="I704" s="1"/>
  <c r="G705"/>
  <c r="G704" s="1"/>
  <c r="H721"/>
  <c r="H720" s="1"/>
  <c r="I721"/>
  <c r="I720" s="1"/>
  <c r="G721"/>
  <c r="G720" s="1"/>
  <c r="H650"/>
  <c r="H649" s="1"/>
  <c r="I650"/>
  <c r="I649" s="1"/>
  <c r="G650"/>
  <c r="G649" s="1"/>
  <c r="G96" i="2"/>
  <c r="H96"/>
  <c r="F96"/>
  <c r="C96"/>
  <c r="G88"/>
  <c r="H88"/>
  <c r="F88"/>
  <c r="C88"/>
  <c r="G67"/>
  <c r="H67"/>
  <c r="F67"/>
  <c r="C67"/>
  <c r="G60"/>
  <c r="H60"/>
  <c r="F60"/>
  <c r="C60"/>
  <c r="H610" i="1"/>
  <c r="H609" s="1"/>
  <c r="I610"/>
  <c r="I609" s="1"/>
  <c r="G610"/>
  <c r="G609" s="1"/>
  <c r="H590"/>
  <c r="H589" s="1"/>
  <c r="I590"/>
  <c r="I589" s="1"/>
  <c r="G590"/>
  <c r="G589" s="1"/>
  <c r="H538"/>
  <c r="H537" s="1"/>
  <c r="I538"/>
  <c r="I537" s="1"/>
  <c r="G538"/>
  <c r="G537" s="1"/>
  <c r="H517"/>
  <c r="H516" s="1"/>
  <c r="I517"/>
  <c r="I516" s="1"/>
  <c r="G517"/>
  <c r="G516" s="1"/>
  <c r="G166" i="2" l="1"/>
  <c r="H166"/>
  <c r="F166"/>
  <c r="C166"/>
  <c r="H419" i="1"/>
  <c r="H418" s="1"/>
  <c r="I419"/>
  <c r="I418" s="1"/>
  <c r="G419"/>
  <c r="G418" s="1"/>
  <c r="G30" i="2"/>
  <c r="H30"/>
  <c r="F30"/>
  <c r="C30"/>
  <c r="H440" i="1"/>
  <c r="H439" s="1"/>
  <c r="I440"/>
  <c r="I439" s="1"/>
  <c r="G440"/>
  <c r="G439" s="1"/>
  <c r="G270" i="2"/>
  <c r="H270"/>
  <c r="F270"/>
  <c r="C270"/>
  <c r="H463" i="1"/>
  <c r="H462" s="1"/>
  <c r="I463"/>
  <c r="I462" s="1"/>
  <c r="G463"/>
  <c r="G462" s="1"/>
  <c r="G224" i="2"/>
  <c r="H224"/>
  <c r="F224"/>
  <c r="G217"/>
  <c r="H217"/>
  <c r="F217"/>
  <c r="C217"/>
  <c r="G216"/>
  <c r="H216"/>
  <c r="F216"/>
  <c r="C216"/>
  <c r="G272"/>
  <c r="H272"/>
  <c r="F272"/>
  <c r="G271"/>
  <c r="H271"/>
  <c r="F271"/>
  <c r="C271"/>
  <c r="H466" i="1"/>
  <c r="I466"/>
  <c r="G466"/>
  <c r="H468"/>
  <c r="I468"/>
  <c r="G468"/>
  <c r="H772"/>
  <c r="I772"/>
  <c r="G772"/>
  <c r="H790"/>
  <c r="H789" s="1"/>
  <c r="I790"/>
  <c r="I789" s="1"/>
  <c r="G790"/>
  <c r="G789" s="1"/>
  <c r="H793"/>
  <c r="H792" s="1"/>
  <c r="I793"/>
  <c r="I792" s="1"/>
  <c r="G793"/>
  <c r="G792" s="1"/>
  <c r="G465" l="1"/>
  <c r="H465"/>
  <c r="I465"/>
  <c r="E36" i="3" l="1"/>
  <c r="F36"/>
  <c r="D36"/>
  <c r="G286" i="2"/>
  <c r="H286"/>
  <c r="G49"/>
  <c r="H49"/>
  <c r="F49"/>
  <c r="G19" l="1"/>
  <c r="G18" s="1"/>
  <c r="H19"/>
  <c r="H18" s="1"/>
  <c r="F19"/>
  <c r="F18" s="1"/>
  <c r="G110"/>
  <c r="G109" s="1"/>
  <c r="H110"/>
  <c r="H109" s="1"/>
  <c r="F110"/>
  <c r="F109" s="1"/>
  <c r="G108"/>
  <c r="G107" s="1"/>
  <c r="H108"/>
  <c r="H107" s="1"/>
  <c r="F108"/>
  <c r="F107" s="1"/>
  <c r="G103"/>
  <c r="G102" s="1"/>
  <c r="H103"/>
  <c r="H102" s="1"/>
  <c r="F103"/>
  <c r="F102" s="1"/>
  <c r="H748" i="1"/>
  <c r="H747" s="1"/>
  <c r="H746" s="1"/>
  <c r="I748"/>
  <c r="I747" s="1"/>
  <c r="I746" s="1"/>
  <c r="G748"/>
  <c r="G747" s="1"/>
  <c r="G746" s="1"/>
  <c r="H673"/>
  <c r="H672" s="1"/>
  <c r="H671" s="1"/>
  <c r="I673"/>
  <c r="I672" s="1"/>
  <c r="I671" s="1"/>
  <c r="G673"/>
  <c r="G672" s="1"/>
  <c r="G671" s="1"/>
  <c r="H669"/>
  <c r="H668" s="1"/>
  <c r="H667" s="1"/>
  <c r="I669"/>
  <c r="I668" s="1"/>
  <c r="I667" s="1"/>
  <c r="G669"/>
  <c r="G668" s="1"/>
  <c r="G667" s="1"/>
  <c r="G83" i="2"/>
  <c r="H83"/>
  <c r="F83"/>
  <c r="G75"/>
  <c r="H75"/>
  <c r="F75"/>
  <c r="H620" i="1"/>
  <c r="I620"/>
  <c r="G620"/>
  <c r="H556"/>
  <c r="H555" s="1"/>
  <c r="I556"/>
  <c r="I555" s="1"/>
  <c r="G556"/>
  <c r="G555" s="1"/>
  <c r="G218" i="2"/>
  <c r="H218"/>
  <c r="F218"/>
  <c r="G214"/>
  <c r="H214"/>
  <c r="F214"/>
  <c r="G213"/>
  <c r="H213"/>
  <c r="F213"/>
  <c r="G223"/>
  <c r="H223"/>
  <c r="F223"/>
  <c r="G222"/>
  <c r="H222"/>
  <c r="F222"/>
  <c r="G262"/>
  <c r="H262"/>
  <c r="F262"/>
  <c r="G261"/>
  <c r="H261"/>
  <c r="F261"/>
  <c r="G260"/>
  <c r="H260"/>
  <c r="F260"/>
  <c r="G256"/>
  <c r="G255" s="1"/>
  <c r="H256"/>
  <c r="H255" s="1"/>
  <c r="F256"/>
  <c r="F255" s="1"/>
  <c r="G268"/>
  <c r="H268"/>
  <c r="F268"/>
  <c r="G267"/>
  <c r="H267"/>
  <c r="F267"/>
  <c r="G266"/>
  <c r="H266"/>
  <c r="F266"/>
  <c r="G245"/>
  <c r="H245"/>
  <c r="F245"/>
  <c r="G244"/>
  <c r="H244"/>
  <c r="F244"/>
  <c r="G243"/>
  <c r="H243"/>
  <c r="F243"/>
  <c r="G242"/>
  <c r="H242"/>
  <c r="F242"/>
  <c r="G241"/>
  <c r="H241"/>
  <c r="F241"/>
  <c r="G238"/>
  <c r="H238"/>
  <c r="F238"/>
  <c r="G237"/>
  <c r="H237"/>
  <c r="F237"/>
  <c r="G231"/>
  <c r="H231"/>
  <c r="F231"/>
  <c r="G229"/>
  <c r="H229"/>
  <c r="F229"/>
  <c r="G228"/>
  <c r="H228"/>
  <c r="F228"/>
  <c r="G277"/>
  <c r="H277"/>
  <c r="F277"/>
  <c r="G276"/>
  <c r="H276"/>
  <c r="F276"/>
  <c r="G275"/>
  <c r="H275"/>
  <c r="F275"/>
  <c r="G259" l="1"/>
  <c r="F259"/>
  <c r="H259"/>
  <c r="G274"/>
  <c r="G273" s="1"/>
  <c r="H274"/>
  <c r="H273" s="1"/>
  <c r="F274"/>
  <c r="F273" s="1"/>
  <c r="G221"/>
  <c r="G220" s="1"/>
  <c r="F221"/>
  <c r="F220" s="1"/>
  <c r="H221"/>
  <c r="H220" s="1"/>
  <c r="G212"/>
  <c r="G211" s="1"/>
  <c r="H212"/>
  <c r="H211" s="1"/>
  <c r="F212"/>
  <c r="F211" s="1"/>
  <c r="H265"/>
  <c r="G265"/>
  <c r="F265"/>
  <c r="H101"/>
  <c r="F101"/>
  <c r="G101"/>
  <c r="G195"/>
  <c r="G194" s="1"/>
  <c r="H195"/>
  <c r="H194" s="1"/>
  <c r="F195"/>
  <c r="F194" s="1"/>
  <c r="G193"/>
  <c r="H193"/>
  <c r="F193"/>
  <c r="G192"/>
  <c r="H192"/>
  <c r="F192"/>
  <c r="G181"/>
  <c r="H181"/>
  <c r="F181"/>
  <c r="C181"/>
  <c r="G167"/>
  <c r="H167"/>
  <c r="F167"/>
  <c r="G145"/>
  <c r="G144" s="1"/>
  <c r="H145"/>
  <c r="H144" s="1"/>
  <c r="F145"/>
  <c r="F144" s="1"/>
  <c r="G136"/>
  <c r="G130" s="1"/>
  <c r="H136"/>
  <c r="H130" s="1"/>
  <c r="F136"/>
  <c r="F130" s="1"/>
  <c r="G128"/>
  <c r="H128"/>
  <c r="F128"/>
  <c r="G125"/>
  <c r="H125"/>
  <c r="F125"/>
  <c r="H718" i="1"/>
  <c r="H717" s="1"/>
  <c r="I718"/>
  <c r="I717" s="1"/>
  <c r="G718"/>
  <c r="G717" s="1"/>
  <c r="H50"/>
  <c r="H49" s="1"/>
  <c r="I50"/>
  <c r="I49" s="1"/>
  <c r="G50"/>
  <c r="G49" s="1"/>
  <c r="I114"/>
  <c r="H114"/>
  <c r="G115"/>
  <c r="G114" s="1"/>
  <c r="G104" s="1"/>
  <c r="H124" i="2" l="1"/>
  <c r="H123" s="1"/>
  <c r="F124"/>
  <c r="F123" s="1"/>
  <c r="G124"/>
  <c r="G123" s="1"/>
  <c r="H104" i="1"/>
  <c r="H103" s="1"/>
  <c r="H102" s="1"/>
  <c r="I104"/>
  <c r="I103" s="1"/>
  <c r="I102" s="1"/>
  <c r="G103"/>
  <c r="G102" s="1"/>
  <c r="H191" i="2"/>
  <c r="F191"/>
  <c r="G191"/>
  <c r="F254"/>
  <c r="G254"/>
  <c r="H254"/>
  <c r="H422" i="1"/>
  <c r="H421" s="1"/>
  <c r="I422"/>
  <c r="I421" s="1"/>
  <c r="G422"/>
  <c r="G421" s="1"/>
  <c r="H86" l="1"/>
  <c r="E41" i="3"/>
  <c r="I86" i="1"/>
  <c r="F41" i="3"/>
  <c r="G86" i="1"/>
  <c r="D41" i="3"/>
  <c r="H304" i="1"/>
  <c r="H303" s="1"/>
  <c r="H302" s="1"/>
  <c r="H301" s="1"/>
  <c r="H300" s="1"/>
  <c r="I304"/>
  <c r="I303" s="1"/>
  <c r="I302" s="1"/>
  <c r="I301" s="1"/>
  <c r="I300" s="1"/>
  <c r="G304"/>
  <c r="G303" s="1"/>
  <c r="G302" s="1"/>
  <c r="G301" s="1"/>
  <c r="G300" s="1"/>
  <c r="H298"/>
  <c r="H297" s="1"/>
  <c r="H296" s="1"/>
  <c r="I298"/>
  <c r="I297" s="1"/>
  <c r="I296" s="1"/>
  <c r="G298"/>
  <c r="G297" s="1"/>
  <c r="G296" s="1"/>
  <c r="H278" l="1"/>
  <c r="H277" s="1"/>
  <c r="I278"/>
  <c r="I277" s="1"/>
  <c r="G278"/>
  <c r="G277" s="1"/>
  <c r="H84"/>
  <c r="H83" s="1"/>
  <c r="H82" s="1"/>
  <c r="I84"/>
  <c r="I83" s="1"/>
  <c r="I82" s="1"/>
  <c r="G84"/>
  <c r="G83" s="1"/>
  <c r="G82" s="1"/>
  <c r="G17" i="2"/>
  <c r="G16" s="1"/>
  <c r="H17"/>
  <c r="H16" s="1"/>
  <c r="F17"/>
  <c r="F16" s="1"/>
  <c r="C17"/>
  <c r="H744" i="1"/>
  <c r="H743" s="1"/>
  <c r="H742" s="1"/>
  <c r="I744"/>
  <c r="I743" s="1"/>
  <c r="I742" s="1"/>
  <c r="G744"/>
  <c r="G743" s="1"/>
  <c r="G742" s="1"/>
  <c r="G74" l="1"/>
  <c r="G73" s="1"/>
  <c r="I74"/>
  <c r="I73" s="1"/>
  <c r="H74"/>
  <c r="H73" s="1"/>
  <c r="H741"/>
  <c r="H740" s="1"/>
  <c r="H739" s="1"/>
  <c r="I741"/>
  <c r="I740" s="1"/>
  <c r="I739" s="1"/>
  <c r="G741"/>
  <c r="G740" s="1"/>
  <c r="F38" i="2"/>
  <c r="H230"/>
  <c r="H227" s="1"/>
  <c r="G230"/>
  <c r="G227" s="1"/>
  <c r="F230"/>
  <c r="F227" s="1"/>
  <c r="G38"/>
  <c r="H38"/>
  <c r="H693" i="1"/>
  <c r="H692" s="1"/>
  <c r="I693"/>
  <c r="I692" s="1"/>
  <c r="H715"/>
  <c r="H714" s="1"/>
  <c r="H710" s="1"/>
  <c r="I715"/>
  <c r="I714" s="1"/>
  <c r="I710" s="1"/>
  <c r="G715"/>
  <c r="G714" s="1"/>
  <c r="G710" s="1"/>
  <c r="G203" i="2"/>
  <c r="G202" s="1"/>
  <c r="H203"/>
  <c r="H202" s="1"/>
  <c r="F203"/>
  <c r="F202" s="1"/>
  <c r="H314" i="1"/>
  <c r="H313" s="1"/>
  <c r="H312" s="1"/>
  <c r="I314"/>
  <c r="I313" s="1"/>
  <c r="I312" s="1"/>
  <c r="G314"/>
  <c r="G313" s="1"/>
  <c r="G312" s="1"/>
  <c r="G15" i="2"/>
  <c r="H15"/>
  <c r="F15"/>
  <c r="F60" i="3" l="1"/>
  <c r="F59" s="1"/>
  <c r="H226" i="2"/>
  <c r="G226"/>
  <c r="F226"/>
  <c r="D60" i="3"/>
  <c r="D59" s="1"/>
  <c r="G739" i="1"/>
  <c r="E60" i="3"/>
  <c r="E59" s="1"/>
  <c r="G693" i="1"/>
  <c r="G692" s="1"/>
  <c r="I339" l="1"/>
  <c r="H339"/>
  <c r="G339"/>
  <c r="I240"/>
  <c r="I239" s="1"/>
  <c r="H240"/>
  <c r="H239" s="1"/>
  <c r="G240"/>
  <c r="G239" s="1"/>
  <c r="I336" l="1"/>
  <c r="I335" s="1"/>
  <c r="I334" s="1"/>
  <c r="I333" s="1"/>
  <c r="G336"/>
  <c r="G335" s="1"/>
  <c r="G334" s="1"/>
  <c r="G333" s="1"/>
  <c r="H336"/>
  <c r="H335" s="1"/>
  <c r="H334" s="1"/>
  <c r="H333" s="1"/>
  <c r="G164" i="2"/>
  <c r="H164"/>
  <c r="F164"/>
  <c r="G28"/>
  <c r="H28"/>
  <c r="F28"/>
  <c r="H457" i="1"/>
  <c r="I457"/>
  <c r="G457"/>
  <c r="H434"/>
  <c r="I434"/>
  <c r="G434"/>
  <c r="H413"/>
  <c r="I413"/>
  <c r="G413"/>
  <c r="I332" l="1"/>
  <c r="F44" i="3"/>
  <c r="F43" s="1"/>
  <c r="G332" i="1"/>
  <c r="D44" i="3"/>
  <c r="D43" s="1"/>
  <c r="H332" i="1"/>
  <c r="E44" i="3"/>
  <c r="E43" s="1"/>
  <c r="E21"/>
  <c r="F21"/>
  <c r="D21"/>
  <c r="G207" i="2" l="1"/>
  <c r="G206" s="1"/>
  <c r="H207"/>
  <c r="H206" s="1"/>
  <c r="F207"/>
  <c r="F206" s="1"/>
  <c r="C207"/>
  <c r="G93" l="1"/>
  <c r="H93"/>
  <c r="F93"/>
  <c r="G46"/>
  <c r="H46"/>
  <c r="F46"/>
  <c r="G34"/>
  <c r="H34"/>
  <c r="F34"/>
  <c r="G26"/>
  <c r="H26"/>
  <c r="F26"/>
  <c r="G23"/>
  <c r="H23"/>
  <c r="F23"/>
  <c r="G22"/>
  <c r="H22"/>
  <c r="F22"/>
  <c r="H603" i="1"/>
  <c r="I603"/>
  <c r="G603"/>
  <c r="H203"/>
  <c r="H202" s="1"/>
  <c r="I203"/>
  <c r="I202" s="1"/>
  <c r="G203"/>
  <c r="G202" s="1"/>
  <c r="H375"/>
  <c r="H374" s="1"/>
  <c r="H373" s="1"/>
  <c r="H372" s="1"/>
  <c r="H371" s="1"/>
  <c r="I375"/>
  <c r="I374" s="1"/>
  <c r="I373" s="1"/>
  <c r="I372" s="1"/>
  <c r="I371" s="1"/>
  <c r="G375"/>
  <c r="G374" s="1"/>
  <c r="G373" s="1"/>
  <c r="G372" s="1"/>
  <c r="G371" s="1"/>
  <c r="G21" i="2" l="1"/>
  <c r="F21"/>
  <c r="H21"/>
  <c r="G200" i="1"/>
  <c r="G199" s="1"/>
  <c r="G201"/>
  <c r="H200"/>
  <c r="H199" s="1"/>
  <c r="H201"/>
  <c r="I200"/>
  <c r="I199" s="1"/>
  <c r="I201"/>
  <c r="G94" i="2" l="1"/>
  <c r="H94"/>
  <c r="F94"/>
  <c r="H492" i="1"/>
  <c r="I492"/>
  <c r="G492"/>
  <c r="H476"/>
  <c r="H475" s="1"/>
  <c r="I476"/>
  <c r="I475" s="1"/>
  <c r="G119" i="2" l="1"/>
  <c r="H119"/>
  <c r="F119"/>
  <c r="H27" i="1"/>
  <c r="I27"/>
  <c r="G27"/>
  <c r="H113" i="2" l="1"/>
  <c r="G113"/>
  <c r="G100"/>
  <c r="H100"/>
  <c r="F100"/>
  <c r="G99"/>
  <c r="H99"/>
  <c r="F99"/>
  <c r="G98"/>
  <c r="H98"/>
  <c r="F98"/>
  <c r="G97"/>
  <c r="H97"/>
  <c r="F97"/>
  <c r="G92"/>
  <c r="H92"/>
  <c r="F92"/>
  <c r="G91"/>
  <c r="H91"/>
  <c r="F91"/>
  <c r="G85"/>
  <c r="G84" s="1"/>
  <c r="H85"/>
  <c r="H84" s="1"/>
  <c r="F85"/>
  <c r="F84" s="1"/>
  <c r="G82"/>
  <c r="H82"/>
  <c r="F82"/>
  <c r="G73"/>
  <c r="H73"/>
  <c r="F73"/>
  <c r="G70"/>
  <c r="H70"/>
  <c r="F70"/>
  <c r="G69"/>
  <c r="H69"/>
  <c r="F69"/>
  <c r="C69"/>
  <c r="G66"/>
  <c r="H66"/>
  <c r="F66"/>
  <c r="G63"/>
  <c r="H63"/>
  <c r="F63"/>
  <c r="G62"/>
  <c r="H62"/>
  <c r="F62"/>
  <c r="G59"/>
  <c r="H59"/>
  <c r="F59"/>
  <c r="H544" i="1"/>
  <c r="H543" s="1"/>
  <c r="I544"/>
  <c r="I543" s="1"/>
  <c r="G544"/>
  <c r="G543" s="1"/>
  <c r="H520"/>
  <c r="H519" s="1"/>
  <c r="I520"/>
  <c r="I519" s="1"/>
  <c r="G520"/>
  <c r="G210" i="2"/>
  <c r="H210"/>
  <c r="F210"/>
  <c r="G209"/>
  <c r="H209"/>
  <c r="F209"/>
  <c r="G201"/>
  <c r="G200" s="1"/>
  <c r="H201"/>
  <c r="H200" s="1"/>
  <c r="F201"/>
  <c r="G48"/>
  <c r="H48"/>
  <c r="F48"/>
  <c r="G47"/>
  <c r="H47"/>
  <c r="F47"/>
  <c r="G42"/>
  <c r="H42"/>
  <c r="F42"/>
  <c r="G36"/>
  <c r="H36"/>
  <c r="F36"/>
  <c r="G35"/>
  <c r="H35"/>
  <c r="F35"/>
  <c r="G32"/>
  <c r="H32"/>
  <c r="F32"/>
  <c r="G31"/>
  <c r="H31"/>
  <c r="F31"/>
  <c r="G27"/>
  <c r="H27"/>
  <c r="F27"/>
  <c r="C26"/>
  <c r="H65" l="1"/>
  <c r="G65"/>
  <c r="F65"/>
  <c r="G41"/>
  <c r="H41"/>
  <c r="F41"/>
  <c r="F33"/>
  <c r="G33"/>
  <c r="H33"/>
  <c r="F90"/>
  <c r="H90"/>
  <c r="G90"/>
  <c r="G25"/>
  <c r="F25"/>
  <c r="H25"/>
  <c r="G208"/>
  <c r="G196" s="1"/>
  <c r="H208"/>
  <c r="H196" s="1"/>
  <c r="F208"/>
  <c r="H20" l="1"/>
  <c r="F20"/>
  <c r="G20"/>
  <c r="H731" i="1" l="1"/>
  <c r="I731"/>
  <c r="G731"/>
  <c r="H729"/>
  <c r="I729"/>
  <c r="G729"/>
  <c r="H267" l="1"/>
  <c r="I267"/>
  <c r="G267"/>
  <c r="H184"/>
  <c r="I184"/>
  <c r="G184"/>
  <c r="G514"/>
  <c r="G513" s="1"/>
  <c r="H514"/>
  <c r="H513" s="1"/>
  <c r="I514"/>
  <c r="I513" s="1"/>
  <c r="G163" i="2"/>
  <c r="H163"/>
  <c r="F163"/>
  <c r="G162"/>
  <c r="H162"/>
  <c r="F162"/>
  <c r="G118"/>
  <c r="H118"/>
  <c r="F118"/>
  <c r="G117"/>
  <c r="H117"/>
  <c r="F117"/>
  <c r="G114"/>
  <c r="H114"/>
  <c r="F114"/>
  <c r="F113"/>
  <c r="G116" l="1"/>
  <c r="F116"/>
  <c r="H116"/>
  <c r="G161"/>
  <c r="G160" s="1"/>
  <c r="H161"/>
  <c r="H160" s="1"/>
  <c r="F161"/>
  <c r="F160" s="1"/>
  <c r="F66" i="3" l="1"/>
  <c r="E66"/>
  <c r="H490" i="1" l="1"/>
  <c r="I490"/>
  <c r="G490"/>
  <c r="H488"/>
  <c r="I488"/>
  <c r="G488"/>
  <c r="G476"/>
  <c r="G475" s="1"/>
  <c r="G487" l="1"/>
  <c r="H487"/>
  <c r="H486" s="1"/>
  <c r="H485" s="1"/>
  <c r="G474"/>
  <c r="G473" s="1"/>
  <c r="G472" s="1"/>
  <c r="I487"/>
  <c r="I486" s="1"/>
  <c r="I485" s="1"/>
  <c r="I474"/>
  <c r="I473" s="1"/>
  <c r="I472" s="1"/>
  <c r="H474"/>
  <c r="H473" s="1"/>
  <c r="H472" s="1"/>
  <c r="G180" i="2"/>
  <c r="G179" s="1"/>
  <c r="H180"/>
  <c r="H179" s="1"/>
  <c r="G172"/>
  <c r="G171" s="1"/>
  <c r="G170" s="1"/>
  <c r="H172"/>
  <c r="H171" s="1"/>
  <c r="H170" s="1"/>
  <c r="G158"/>
  <c r="H158"/>
  <c r="G159"/>
  <c r="H159"/>
  <c r="G115"/>
  <c r="G112" s="1"/>
  <c r="G111" s="1"/>
  <c r="H115"/>
  <c r="H112" s="1"/>
  <c r="H111" s="1"/>
  <c r="C99"/>
  <c r="C97"/>
  <c r="C91"/>
  <c r="C85"/>
  <c r="C82"/>
  <c r="C73"/>
  <c r="C70"/>
  <c r="C66"/>
  <c r="C63"/>
  <c r="C62"/>
  <c r="C61"/>
  <c r="C59"/>
  <c r="H622" i="1"/>
  <c r="H619" s="1"/>
  <c r="H615" s="1"/>
  <c r="I622"/>
  <c r="I619" s="1"/>
  <c r="I615" s="1"/>
  <c r="G622"/>
  <c r="H630"/>
  <c r="I630"/>
  <c r="G630"/>
  <c r="H628"/>
  <c r="I628"/>
  <c r="G628"/>
  <c r="H599"/>
  <c r="I599"/>
  <c r="G599"/>
  <c r="H601"/>
  <c r="I601"/>
  <c r="G601"/>
  <c r="H581"/>
  <c r="H580" s="1"/>
  <c r="I581"/>
  <c r="I580" s="1"/>
  <c r="G581"/>
  <c r="G580" s="1"/>
  <c r="G579" s="1"/>
  <c r="H553"/>
  <c r="H552" s="1"/>
  <c r="I553"/>
  <c r="I552" s="1"/>
  <c r="G553"/>
  <c r="G552" s="1"/>
  <c r="H547"/>
  <c r="H546" s="1"/>
  <c r="I547"/>
  <c r="I546" s="1"/>
  <c r="G547"/>
  <c r="G546" s="1"/>
  <c r="H535"/>
  <c r="H534" s="1"/>
  <c r="I535"/>
  <c r="I534" s="1"/>
  <c r="G535"/>
  <c r="G534" s="1"/>
  <c r="H526"/>
  <c r="H525" s="1"/>
  <c r="I526"/>
  <c r="I525" s="1"/>
  <c r="G526"/>
  <c r="G525" s="1"/>
  <c r="H523"/>
  <c r="H522" s="1"/>
  <c r="I523"/>
  <c r="I522" s="1"/>
  <c r="G523"/>
  <c r="G522" s="1"/>
  <c r="G519"/>
  <c r="H188"/>
  <c r="I188"/>
  <c r="G188"/>
  <c r="G486" l="1"/>
  <c r="G485" s="1"/>
  <c r="G533"/>
  <c r="G532" s="1"/>
  <c r="G531" s="1"/>
  <c r="D47" i="3" s="1"/>
  <c r="I533" i="1"/>
  <c r="I532" s="1"/>
  <c r="I531" s="1"/>
  <c r="F47" i="3" s="1"/>
  <c r="H533" i="1"/>
  <c r="H532" s="1"/>
  <c r="H531" s="1"/>
  <c r="E47" i="3" s="1"/>
  <c r="H579" i="1"/>
  <c r="H574" s="1"/>
  <c r="H573" s="1"/>
  <c r="I579"/>
  <c r="I574" s="1"/>
  <c r="I573" s="1"/>
  <c r="I512"/>
  <c r="I511" s="1"/>
  <c r="I510" s="1"/>
  <c r="F46" i="3" s="1"/>
  <c r="G574" i="1"/>
  <c r="G573" s="1"/>
  <c r="G512"/>
  <c r="G511" s="1"/>
  <c r="G510" s="1"/>
  <c r="D46" i="3" s="1"/>
  <c r="H512" i="1"/>
  <c r="H511" s="1"/>
  <c r="H510" s="1"/>
  <c r="E46" i="3" s="1"/>
  <c r="G619" i="1"/>
  <c r="H598"/>
  <c r="H597" s="1"/>
  <c r="I598"/>
  <c r="I597" s="1"/>
  <c r="G598"/>
  <c r="G597" s="1"/>
  <c r="F61" i="2"/>
  <c r="F58" s="1"/>
  <c r="I614" i="1"/>
  <c r="I613" s="1"/>
  <c r="H61" i="2"/>
  <c r="H58" s="1"/>
  <c r="G61"/>
  <c r="G58" s="1"/>
  <c r="H614" i="1"/>
  <c r="H613" s="1"/>
  <c r="I627"/>
  <c r="I626" s="1"/>
  <c r="I625" s="1"/>
  <c r="I624" s="1"/>
  <c r="F57" i="3" s="1"/>
  <c r="G157" i="2"/>
  <c r="G148" s="1"/>
  <c r="H157"/>
  <c r="H148" s="1"/>
  <c r="H627" i="1"/>
  <c r="H626" s="1"/>
  <c r="H625" s="1"/>
  <c r="H624" s="1"/>
  <c r="E57" i="3" s="1"/>
  <c r="G627" i="1"/>
  <c r="G626" s="1"/>
  <c r="G625" s="1"/>
  <c r="G624" s="1"/>
  <c r="D57" i="3" s="1"/>
  <c r="G615" i="1" l="1"/>
  <c r="G614" s="1"/>
  <c r="G613" s="1"/>
  <c r="G612" s="1"/>
  <c r="I612"/>
  <c r="H612"/>
  <c r="F57" i="2"/>
  <c r="H57"/>
  <c r="G57"/>
  <c r="G596" i="1"/>
  <c r="G595" s="1"/>
  <c r="H596"/>
  <c r="H595" s="1"/>
  <c r="I596"/>
  <c r="I595" s="1"/>
  <c r="F200" i="2"/>
  <c r="F196" s="1"/>
  <c r="E24" i="3"/>
  <c r="F24"/>
  <c r="D24"/>
  <c r="C201" i="2"/>
  <c r="H369" i="1"/>
  <c r="H368" s="1"/>
  <c r="I369"/>
  <c r="I368" s="1"/>
  <c r="G369"/>
  <c r="G368" s="1"/>
  <c r="H175"/>
  <c r="H174" s="1"/>
  <c r="I175"/>
  <c r="I174" s="1"/>
  <c r="G175"/>
  <c r="G174" s="1"/>
  <c r="G173" s="1"/>
  <c r="H785"/>
  <c r="I785"/>
  <c r="G785"/>
  <c r="H783"/>
  <c r="I783"/>
  <c r="G783"/>
  <c r="H796"/>
  <c r="H795" s="1"/>
  <c r="I796"/>
  <c r="I795" s="1"/>
  <c r="G796"/>
  <c r="G795" s="1"/>
  <c r="H782" l="1"/>
  <c r="H781" s="1"/>
  <c r="H780" s="1"/>
  <c r="G782"/>
  <c r="G781" s="1"/>
  <c r="G780" s="1"/>
  <c r="I782"/>
  <c r="I781" s="1"/>
  <c r="I780" s="1"/>
  <c r="I509"/>
  <c r="I508" s="1"/>
  <c r="G509"/>
  <c r="G508" s="1"/>
  <c r="H509"/>
  <c r="H508" s="1"/>
  <c r="G172"/>
  <c r="G171" s="1"/>
  <c r="H173"/>
  <c r="H172" s="1"/>
  <c r="H171" s="1"/>
  <c r="I173"/>
  <c r="I172" s="1"/>
  <c r="I171" s="1"/>
  <c r="G367"/>
  <c r="G366" s="1"/>
  <c r="G365" s="1"/>
  <c r="G356" s="1"/>
  <c r="I367"/>
  <c r="I366" s="1"/>
  <c r="I365" s="1"/>
  <c r="I356" s="1"/>
  <c r="H367"/>
  <c r="H366" s="1"/>
  <c r="H365" s="1"/>
  <c r="H356" s="1"/>
  <c r="E18" i="3" l="1"/>
  <c r="F18"/>
  <c r="D18"/>
  <c r="E56"/>
  <c r="E54" s="1"/>
  <c r="F56"/>
  <c r="F54" s="1"/>
  <c r="D56"/>
  <c r="D54" s="1"/>
  <c r="G779" i="1"/>
  <c r="G778" s="1"/>
  <c r="G777" s="1"/>
  <c r="H779"/>
  <c r="E19" i="3" s="1"/>
  <c r="I779" i="1"/>
  <c r="I778" s="1"/>
  <c r="I777" s="1"/>
  <c r="C209" i="2"/>
  <c r="C186"/>
  <c r="F180"/>
  <c r="F179" s="1"/>
  <c r="C180"/>
  <c r="F172"/>
  <c r="F171" s="1"/>
  <c r="F170" s="1"/>
  <c r="C162"/>
  <c r="F159"/>
  <c r="C159"/>
  <c r="F158"/>
  <c r="C158"/>
  <c r="C117"/>
  <c r="F115"/>
  <c r="C115"/>
  <c r="C114"/>
  <c r="C113"/>
  <c r="H778" i="1" l="1"/>
  <c r="H777" s="1"/>
  <c r="F19" i="3"/>
  <c r="D19"/>
  <c r="F112" i="2"/>
  <c r="F157"/>
  <c r="F148" s="1"/>
  <c r="C42"/>
  <c r="C46"/>
  <c r="C36"/>
  <c r="C35"/>
  <c r="C34"/>
  <c r="C31"/>
  <c r="F111" l="1"/>
  <c r="C23"/>
  <c r="C22"/>
  <c r="C21"/>
  <c r="C20"/>
  <c r="H665" i="1" l="1"/>
  <c r="H664" s="1"/>
  <c r="I665"/>
  <c r="I664" s="1"/>
  <c r="G665"/>
  <c r="G664" s="1"/>
  <c r="H455"/>
  <c r="I455"/>
  <c r="G455"/>
  <c r="H453"/>
  <c r="I453"/>
  <c r="G453"/>
  <c r="H770"/>
  <c r="I770"/>
  <c r="G770"/>
  <c r="H768"/>
  <c r="I768"/>
  <c r="G768"/>
  <c r="H411"/>
  <c r="I411"/>
  <c r="G411"/>
  <c r="H409"/>
  <c r="I409"/>
  <c r="G409"/>
  <c r="H727"/>
  <c r="H726" s="1"/>
  <c r="H725" s="1"/>
  <c r="I727"/>
  <c r="I726" s="1"/>
  <c r="I725" s="1"/>
  <c r="G727"/>
  <c r="G726" s="1"/>
  <c r="G725" s="1"/>
  <c r="H699"/>
  <c r="H698" s="1"/>
  <c r="I699"/>
  <c r="I698" s="1"/>
  <c r="G699"/>
  <c r="G698" s="1"/>
  <c r="H696"/>
  <c r="H695" s="1"/>
  <c r="I696"/>
  <c r="I695" s="1"/>
  <c r="G696"/>
  <c r="G695" s="1"/>
  <c r="H656"/>
  <c r="H655" s="1"/>
  <c r="I656"/>
  <c r="I655" s="1"/>
  <c r="G656"/>
  <c r="G655" s="1"/>
  <c r="H654" l="1"/>
  <c r="H653" s="1"/>
  <c r="H652" s="1"/>
  <c r="E49" i="3" s="1"/>
  <c r="I654" i="1"/>
  <c r="I653" s="1"/>
  <c r="I652" s="1"/>
  <c r="F49" i="3" s="1"/>
  <c r="G654" i="1"/>
  <c r="G653" s="1"/>
  <c r="G652" s="1"/>
  <c r="D49" i="3" s="1"/>
  <c r="G724" i="1"/>
  <c r="H767"/>
  <c r="H766" s="1"/>
  <c r="H765" s="1"/>
  <c r="I767"/>
  <c r="I766" s="1"/>
  <c r="I765" s="1"/>
  <c r="G408"/>
  <c r="G407" s="1"/>
  <c r="G767"/>
  <c r="G766" s="1"/>
  <c r="G765" s="1"/>
  <c r="H408"/>
  <c r="H407" s="1"/>
  <c r="I408"/>
  <c r="I407" s="1"/>
  <c r="H452"/>
  <c r="H451" s="1"/>
  <c r="G452"/>
  <c r="G451" s="1"/>
  <c r="I452"/>
  <c r="I451" s="1"/>
  <c r="H724"/>
  <c r="I724"/>
  <c r="H406" l="1"/>
  <c r="H405" s="1"/>
  <c r="E29" i="3" s="1"/>
  <c r="I406" i="1"/>
  <c r="I405" s="1"/>
  <c r="F29" i="3" s="1"/>
  <c r="G406" i="1"/>
  <c r="G405" s="1"/>
  <c r="I764"/>
  <c r="I763" s="1"/>
  <c r="I762" s="1"/>
  <c r="H764"/>
  <c r="H763" s="1"/>
  <c r="H762" s="1"/>
  <c r="G764"/>
  <c r="G763" s="1"/>
  <c r="G762" s="1"/>
  <c r="H450"/>
  <c r="H449" s="1"/>
  <c r="I450"/>
  <c r="I449" s="1"/>
  <c r="G450"/>
  <c r="G449" s="1"/>
  <c r="G723"/>
  <c r="D53" i="3" s="1"/>
  <c r="I723" i="1"/>
  <c r="F53" i="3" s="1"/>
  <c r="H723" i="1"/>
  <c r="E53" i="3" s="1"/>
  <c r="H683" i="1"/>
  <c r="H682" s="1"/>
  <c r="I683"/>
  <c r="I682" s="1"/>
  <c r="G683"/>
  <c r="G682" s="1"/>
  <c r="H690"/>
  <c r="H689" s="1"/>
  <c r="H688" s="1"/>
  <c r="I690"/>
  <c r="I689" s="1"/>
  <c r="I688" s="1"/>
  <c r="G690"/>
  <c r="G689" s="1"/>
  <c r="G688" s="1"/>
  <c r="H680"/>
  <c r="H679" s="1"/>
  <c r="I680"/>
  <c r="I679" s="1"/>
  <c r="G680"/>
  <c r="G679" s="1"/>
  <c r="H638"/>
  <c r="H637" s="1"/>
  <c r="H636" s="1"/>
  <c r="I638"/>
  <c r="I637" s="1"/>
  <c r="I636" s="1"/>
  <c r="G638"/>
  <c r="G637" s="1"/>
  <c r="G636" s="1"/>
  <c r="H443"/>
  <c r="I443"/>
  <c r="G443"/>
  <c r="H445"/>
  <c r="I445"/>
  <c r="G445"/>
  <c r="H430"/>
  <c r="I430"/>
  <c r="G430"/>
  <c r="H432"/>
  <c r="I432"/>
  <c r="G432"/>
  <c r="H352"/>
  <c r="I352"/>
  <c r="G352"/>
  <c r="H354"/>
  <c r="I354"/>
  <c r="G354"/>
  <c r="H330"/>
  <c r="H329" s="1"/>
  <c r="I330"/>
  <c r="I329" s="1"/>
  <c r="G330"/>
  <c r="G329" s="1"/>
  <c r="H327"/>
  <c r="H326" s="1"/>
  <c r="I327"/>
  <c r="I326" s="1"/>
  <c r="G327"/>
  <c r="G326" s="1"/>
  <c r="H310"/>
  <c r="H309" s="1"/>
  <c r="H308" s="1"/>
  <c r="H307" s="1"/>
  <c r="H306" s="1"/>
  <c r="E37" i="3" s="1"/>
  <c r="I310" i="1"/>
  <c r="I309" s="1"/>
  <c r="I308" s="1"/>
  <c r="I307" s="1"/>
  <c r="I306" s="1"/>
  <c r="F37" i="3" s="1"/>
  <c r="G310" i="1"/>
  <c r="G309" s="1"/>
  <c r="G308" s="1"/>
  <c r="G307" s="1"/>
  <c r="G306" s="1"/>
  <c r="D37" i="3" s="1"/>
  <c r="H284" i="1"/>
  <c r="H283" s="1"/>
  <c r="H282" s="1"/>
  <c r="I284"/>
  <c r="I283" s="1"/>
  <c r="I282" s="1"/>
  <c r="G284"/>
  <c r="G283" s="1"/>
  <c r="G282" s="1"/>
  <c r="H275"/>
  <c r="H274" s="1"/>
  <c r="I275"/>
  <c r="I274" s="1"/>
  <c r="G275"/>
  <c r="G274" s="1"/>
  <c r="H269"/>
  <c r="H266" s="1"/>
  <c r="I269"/>
  <c r="I266" s="1"/>
  <c r="G269"/>
  <c r="G266" s="1"/>
  <c r="H248"/>
  <c r="I248"/>
  <c r="G248"/>
  <c r="H250"/>
  <c r="I250"/>
  <c r="G250"/>
  <c r="I678" l="1"/>
  <c r="I677" s="1"/>
  <c r="I676" s="1"/>
  <c r="I675" s="1"/>
  <c r="D29" i="3"/>
  <c r="D28" s="1"/>
  <c r="H678" i="1"/>
  <c r="H677" s="1"/>
  <c r="H676" s="1"/>
  <c r="H675" s="1"/>
  <c r="G678"/>
  <c r="G677" s="1"/>
  <c r="H635"/>
  <c r="H634" s="1"/>
  <c r="E48" i="3" s="1"/>
  <c r="I635" i="1"/>
  <c r="I634" s="1"/>
  <c r="F48" i="3" s="1"/>
  <c r="G635" i="1"/>
  <c r="G634" s="1"/>
  <c r="D48" i="3" s="1"/>
  <c r="H404" i="1"/>
  <c r="H403" s="1"/>
  <c r="E28" i="3"/>
  <c r="I404" i="1"/>
  <c r="I403" s="1"/>
  <c r="F28" i="3"/>
  <c r="G404" i="1"/>
  <c r="G403" s="1"/>
  <c r="H429"/>
  <c r="I429"/>
  <c r="G273"/>
  <c r="G272" s="1"/>
  <c r="G271" s="1"/>
  <c r="D34" i="3" s="1"/>
  <c r="H273" i="1"/>
  <c r="H272" s="1"/>
  <c r="H271" s="1"/>
  <c r="E34" i="3" s="1"/>
  <c r="I273" i="1"/>
  <c r="I272" s="1"/>
  <c r="I271" s="1"/>
  <c r="F34" i="3" s="1"/>
  <c r="I448" i="1"/>
  <c r="I447" s="1"/>
  <c r="H448"/>
  <c r="H447" s="1"/>
  <c r="G448"/>
  <c r="G447" s="1"/>
  <c r="G429"/>
  <c r="G186" i="2"/>
  <c r="G182" s="1"/>
  <c r="H186"/>
  <c r="H182" s="1"/>
  <c r="F186"/>
  <c r="F182" s="1"/>
  <c r="G325" i="1"/>
  <c r="G324" s="1"/>
  <c r="G323" s="1"/>
  <c r="D40" i="3" s="1"/>
  <c r="G351" i="1"/>
  <c r="I325"/>
  <c r="I324" s="1"/>
  <c r="I323" s="1"/>
  <c r="F40" i="3" s="1"/>
  <c r="H351" i="1"/>
  <c r="I351"/>
  <c r="H442"/>
  <c r="I442"/>
  <c r="G442"/>
  <c r="G247"/>
  <c r="H325"/>
  <c r="H324" s="1"/>
  <c r="H323" s="1"/>
  <c r="E40" i="3" s="1"/>
  <c r="H247" i="1"/>
  <c r="I247"/>
  <c r="H506"/>
  <c r="H505" s="1"/>
  <c r="I506"/>
  <c r="I505" s="1"/>
  <c r="G506"/>
  <c r="G505" s="1"/>
  <c r="H503"/>
  <c r="H502" s="1"/>
  <c r="I503"/>
  <c r="I502" s="1"/>
  <c r="G503"/>
  <c r="G502" s="1"/>
  <c r="H237"/>
  <c r="H236" s="1"/>
  <c r="I237"/>
  <c r="I236" s="1"/>
  <c r="G237"/>
  <c r="G236" s="1"/>
  <c r="H229"/>
  <c r="I229"/>
  <c r="G229"/>
  <c r="H227"/>
  <c r="I227"/>
  <c r="G227"/>
  <c r="H215"/>
  <c r="H214" s="1"/>
  <c r="I215"/>
  <c r="I214" s="1"/>
  <c r="G215"/>
  <c r="G214" s="1"/>
  <c r="H232"/>
  <c r="I232"/>
  <c r="H234"/>
  <c r="I234"/>
  <c r="G232"/>
  <c r="G234"/>
  <c r="H186"/>
  <c r="H183" s="1"/>
  <c r="H182" s="1"/>
  <c r="I186"/>
  <c r="I183" s="1"/>
  <c r="I182" s="1"/>
  <c r="G186"/>
  <c r="H154"/>
  <c r="H153" s="1"/>
  <c r="H152" s="1"/>
  <c r="H151" s="1"/>
  <c r="H150" s="1"/>
  <c r="I154"/>
  <c r="I153" s="1"/>
  <c r="I152" s="1"/>
  <c r="I151" s="1"/>
  <c r="I150" s="1"/>
  <c r="G154"/>
  <c r="G153" s="1"/>
  <c r="G152" s="1"/>
  <c r="G151" s="1"/>
  <c r="G150" s="1"/>
  <c r="H148"/>
  <c r="H147" s="1"/>
  <c r="I148"/>
  <c r="I147" s="1"/>
  <c r="G148"/>
  <c r="G147" s="1"/>
  <c r="H145"/>
  <c r="H144" s="1"/>
  <c r="I145"/>
  <c r="I144" s="1"/>
  <c r="G145"/>
  <c r="G144" s="1"/>
  <c r="H71"/>
  <c r="H70" s="1"/>
  <c r="H69" s="1"/>
  <c r="I71"/>
  <c r="I70" s="1"/>
  <c r="I69" s="1"/>
  <c r="G71"/>
  <c r="G70" s="1"/>
  <c r="G69" s="1"/>
  <c r="H57"/>
  <c r="H56" s="1"/>
  <c r="H55" s="1"/>
  <c r="I57"/>
  <c r="I56" s="1"/>
  <c r="I55" s="1"/>
  <c r="G57"/>
  <c r="G56" s="1"/>
  <c r="G55" s="1"/>
  <c r="H25"/>
  <c r="I25"/>
  <c r="G25"/>
  <c r="H23"/>
  <c r="I23"/>
  <c r="G23"/>
  <c r="H178" i="2" l="1"/>
  <c r="H287" s="1"/>
  <c r="F178"/>
  <c r="F287" s="1"/>
  <c r="G178"/>
  <c r="G287" s="1"/>
  <c r="I428" i="1"/>
  <c r="I427" s="1"/>
  <c r="I426" s="1"/>
  <c r="I425" s="1"/>
  <c r="I424" s="1"/>
  <c r="H428"/>
  <c r="H427" s="1"/>
  <c r="H426" s="1"/>
  <c r="H425" s="1"/>
  <c r="H424" s="1"/>
  <c r="G428"/>
  <c r="G427" s="1"/>
  <c r="G426" s="1"/>
  <c r="G425" s="1"/>
  <c r="G424" s="1"/>
  <c r="D38" i="3"/>
  <c r="G316" i="1"/>
  <c r="H316"/>
  <c r="E38" i="3"/>
  <c r="I316" i="1"/>
  <c r="F38" i="3"/>
  <c r="G281" i="1"/>
  <c r="G280" s="1"/>
  <c r="D35" i="3" s="1"/>
  <c r="H281" i="1"/>
  <c r="H280" s="1"/>
  <c r="E35" i="3" s="1"/>
  <c r="I281" i="1"/>
  <c r="I280" s="1"/>
  <c r="F35" i="3" s="1"/>
  <c r="E65"/>
  <c r="F65"/>
  <c r="D65"/>
  <c r="H181" i="1"/>
  <c r="H180" s="1"/>
  <c r="E20" i="3" s="1"/>
  <c r="I181" i="1"/>
  <c r="I180" s="1"/>
  <c r="F20" i="3" s="1"/>
  <c r="G183" i="1"/>
  <c r="G182" s="1"/>
  <c r="I501"/>
  <c r="I500" s="1"/>
  <c r="I484" s="1"/>
  <c r="H501"/>
  <c r="H500" s="1"/>
  <c r="H484" s="1"/>
  <c r="H212"/>
  <c r="H211" s="1"/>
  <c r="H213"/>
  <c r="G212"/>
  <c r="G211" s="1"/>
  <c r="G213"/>
  <c r="I212"/>
  <c r="I211" s="1"/>
  <c r="I213"/>
  <c r="G501"/>
  <c r="G500" s="1"/>
  <c r="G484" s="1"/>
  <c r="G676"/>
  <c r="D52" i="3" s="1"/>
  <c r="D51" s="1"/>
  <c r="G633" i="1"/>
  <c r="H633"/>
  <c r="H632" s="1"/>
  <c r="H143"/>
  <c r="H142" s="1"/>
  <c r="H141" s="1"/>
  <c r="I143"/>
  <c r="I142" s="1"/>
  <c r="I141" s="1"/>
  <c r="G22"/>
  <c r="G21" s="1"/>
  <c r="G143"/>
  <c r="G142" s="1"/>
  <c r="G141" s="1"/>
  <c r="H22"/>
  <c r="H21" s="1"/>
  <c r="I22"/>
  <c r="I21" s="1"/>
  <c r="I633"/>
  <c r="I632" s="1"/>
  <c r="I471"/>
  <c r="I470" s="1"/>
  <c r="G471"/>
  <c r="G470" s="1"/>
  <c r="H471"/>
  <c r="H470" s="1"/>
  <c r="I246"/>
  <c r="I245" s="1"/>
  <c r="H265"/>
  <c r="H264" s="1"/>
  <c r="H263" s="1"/>
  <c r="I265"/>
  <c r="I264" s="1"/>
  <c r="I263" s="1"/>
  <c r="H350"/>
  <c r="H349" s="1"/>
  <c r="H246"/>
  <c r="H245" s="1"/>
  <c r="I350"/>
  <c r="I349" s="1"/>
  <c r="G246"/>
  <c r="G245" s="1"/>
  <c r="G350"/>
  <c r="G349" s="1"/>
  <c r="G348" s="1"/>
  <c r="G265"/>
  <c r="G264" s="1"/>
  <c r="G263" s="1"/>
  <c r="G54"/>
  <c r="G226"/>
  <c r="H226"/>
  <c r="I226"/>
  <c r="H68"/>
  <c r="I231"/>
  <c r="H231"/>
  <c r="G231"/>
  <c r="I68"/>
  <c r="I67" s="1"/>
  <c r="G68"/>
  <c r="G67" s="1"/>
  <c r="G53"/>
  <c r="H54"/>
  <c r="H53"/>
  <c r="I54"/>
  <c r="I53"/>
  <c r="G219" l="1"/>
  <c r="G218" s="1"/>
  <c r="G217" s="1"/>
  <c r="H219"/>
  <c r="H218" s="1"/>
  <c r="H217" s="1"/>
  <c r="I219"/>
  <c r="I218" s="1"/>
  <c r="I217" s="1"/>
  <c r="D50" i="3"/>
  <c r="D45" s="1"/>
  <c r="G341" i="1"/>
  <c r="I348"/>
  <c r="H348"/>
  <c r="I140"/>
  <c r="G140"/>
  <c r="G262"/>
  <c r="I262"/>
  <c r="H262"/>
  <c r="H140"/>
  <c r="G181"/>
  <c r="G180" s="1"/>
  <c r="D20" i="3" s="1"/>
  <c r="I20" i="1"/>
  <c r="H20"/>
  <c r="G20"/>
  <c r="F32" i="3"/>
  <c r="I66" i="1"/>
  <c r="D32" i="3"/>
  <c r="G66" i="1"/>
  <c r="G675"/>
  <c r="G632" s="1"/>
  <c r="I483"/>
  <c r="I482" s="1"/>
  <c r="G483"/>
  <c r="G482" s="1"/>
  <c r="H483"/>
  <c r="H482" s="1"/>
  <c r="F33" i="3"/>
  <c r="E33"/>
  <c r="D33"/>
  <c r="E52"/>
  <c r="E51" s="1"/>
  <c r="F52"/>
  <c r="F51" s="1"/>
  <c r="F64"/>
  <c r="F63" s="1"/>
  <c r="G52" i="1"/>
  <c r="D27" i="3"/>
  <c r="D26" s="1"/>
  <c r="E64"/>
  <c r="E63" s="1"/>
  <c r="H52" i="1"/>
  <c r="E27" i="3"/>
  <c r="E26" s="1"/>
  <c r="I52" i="1"/>
  <c r="F27" i="3"/>
  <c r="F26" s="1"/>
  <c r="D64"/>
  <c r="D63" s="1"/>
  <c r="H67" i="1"/>
  <c r="F50" i="3" l="1"/>
  <c r="F45" s="1"/>
  <c r="I341" i="1"/>
  <c r="E50" i="3"/>
  <c r="E45" s="1"/>
  <c r="H341" i="1"/>
  <c r="G170"/>
  <c r="G169" s="1"/>
  <c r="H170"/>
  <c r="H169" s="1"/>
  <c r="I170"/>
  <c r="I19"/>
  <c r="F22" i="3" s="1"/>
  <c r="H19" i="1"/>
  <c r="E22" i="3" s="1"/>
  <c r="G19" i="1"/>
  <c r="D22" i="3" s="1"/>
  <c r="D31"/>
  <c r="F31"/>
  <c r="E32"/>
  <c r="E31" s="1"/>
  <c r="H66" i="1"/>
  <c r="H47"/>
  <c r="H46" s="1"/>
  <c r="I47"/>
  <c r="I46" s="1"/>
  <c r="G47"/>
  <c r="G46" s="1"/>
  <c r="I169" l="1"/>
  <c r="G45"/>
  <c r="G44"/>
  <c r="G43" s="1"/>
  <c r="D25" i="3" s="1"/>
  <c r="H44" i="1"/>
  <c r="H43" s="1"/>
  <c r="H45"/>
  <c r="I45"/>
  <c r="I44"/>
  <c r="I43" s="1"/>
  <c r="I18" l="1"/>
  <c r="I17" s="1"/>
  <c r="I802" s="1"/>
  <c r="F25" i="3"/>
  <c r="H18" i="1"/>
  <c r="H17" s="1"/>
  <c r="H802" s="1"/>
  <c r="E25" i="3"/>
  <c r="G18" i="1"/>
  <c r="G17" s="1"/>
  <c r="G802" s="1"/>
  <c r="F17" i="3" l="1"/>
  <c r="F67" s="1"/>
  <c r="D17"/>
  <c r="D67" s="1"/>
  <c r="E17"/>
  <c r="E67" s="1"/>
  <c r="H289" i="2"/>
  <c r="G289"/>
  <c r="I804" i="1" l="1"/>
  <c r="H804"/>
  <c r="F69" i="3"/>
  <c r="E69"/>
  <c r="D69"/>
  <c r="F289" i="2" l="1"/>
</calcChain>
</file>

<file path=xl/comments1.xml><?xml version="1.0" encoding="utf-8"?>
<comments xmlns="http://schemas.openxmlformats.org/spreadsheetml/2006/main">
  <authors>
    <author>Автор</author>
  </authors>
  <commentList>
    <comment ref="J381" authorId="0">
      <text>
        <r>
          <rPr>
            <b/>
            <sz val="9"/>
            <color indexed="81"/>
            <rFont val="Tahoma"/>
            <family val="2"/>
            <charset val="204"/>
          </rPr>
          <t>Автор:</t>
        </r>
        <r>
          <rPr>
            <sz val="9"/>
            <color indexed="81"/>
            <rFont val="Tahoma"/>
            <family val="2"/>
            <charset val="204"/>
          </rPr>
          <t xml:space="preserve">
за счет 207 КБК</t>
        </r>
      </text>
    </comment>
    <comment ref="L454" authorId="0">
      <text>
        <r>
          <rPr>
            <b/>
            <sz val="9"/>
            <color indexed="81"/>
            <rFont val="Tahoma"/>
            <family val="2"/>
            <charset val="204"/>
          </rPr>
          <t>Автор:</t>
        </r>
        <r>
          <rPr>
            <sz val="9"/>
            <color indexed="81"/>
            <rFont val="Tahoma"/>
            <family val="2"/>
            <charset val="204"/>
          </rPr>
          <t xml:space="preserve">
льготный</t>
        </r>
      </text>
    </comment>
    <comment ref="M572" authorId="0">
      <text>
        <r>
          <rPr>
            <b/>
            <sz val="9"/>
            <color indexed="81"/>
            <rFont val="Tahoma"/>
            <family val="2"/>
            <charset val="204"/>
          </rPr>
          <t>Автор:</t>
        </r>
        <r>
          <rPr>
            <sz val="9"/>
            <color indexed="81"/>
            <rFont val="Tahoma"/>
            <family val="2"/>
            <charset val="204"/>
          </rPr>
          <t xml:space="preserve">
соф 2020</t>
        </r>
      </text>
    </comment>
  </commentList>
</comments>
</file>

<file path=xl/sharedStrings.xml><?xml version="1.0" encoding="utf-8"?>
<sst xmlns="http://schemas.openxmlformats.org/spreadsheetml/2006/main" count="3306" uniqueCount="595">
  <si>
    <t>(тыс. рублей)</t>
  </si>
  <si>
    <t>№ строки</t>
  </si>
  <si>
    <t>Наименование главных распорядителей и наименование показателей бюджетной классификации</t>
  </si>
  <si>
    <t>Код ведомства</t>
  </si>
  <si>
    <t>Раздел-подраздел</t>
  </si>
  <si>
    <t>Целевая статья</t>
  </si>
  <si>
    <t>Вид расходов</t>
  </si>
  <si>
    <t>1</t>
  </si>
  <si>
    <t>2</t>
  </si>
  <si>
    <t>3</t>
  </si>
  <si>
    <t>4</t>
  </si>
  <si>
    <t>5</t>
  </si>
  <si>
    <t>6</t>
  </si>
  <si>
    <t xml:space="preserve">Ведомственная структура расходов районного бюджета </t>
  </si>
  <si>
    <t>Обеспечение деятельности финансовых, налоговых и таможенных органов и органов финансового (финансово-бюджетного) надзора</t>
  </si>
  <si>
    <t xml:space="preserve">Муниципальная программа Мотыгинского района "Управление муниципальными финансами" </t>
  </si>
  <si>
    <t>Подпрограмма "Обеспечение реализации муниципальной программы и прочие мероприятия"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</si>
  <si>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</si>
  <si>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</si>
  <si>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</si>
  <si>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t>
  </si>
  <si>
    <t>Субвенции</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</si>
  <si>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</si>
  <si>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</si>
  <si>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Мобилизационная и вневойсковая подготовка</t>
  </si>
  <si>
    <t>Непрограммные расходы отдельных органов исполнительной власти</t>
  </si>
  <si>
    <t>Общеэкономические вопросы</t>
  </si>
  <si>
    <t>Иные межбюджетные трансферты</t>
  </si>
  <si>
    <t>Дотации на выравнивание бюджетной обеспеченности субъектов Российской Федерации и муниципальных образований</t>
  </si>
  <si>
    <t>Подпрограмма " Создание условий для эффективного и ответственного управления муниципальными финансами, повышение устойчивости бюджетов муниципальных образований Мотыгинского района"</t>
  </si>
  <si>
    <t>Дотации</t>
  </si>
  <si>
    <t>Прочие межбюджетные трансферты общего характера</t>
  </si>
  <si>
    <t>Субвенция на выполнение государственных полномочий по созданию и обеспечению деятельности комиссий по делам несовершеннолетних и защите их прав</t>
  </si>
  <si>
    <t>Резервные фонды</t>
  </si>
  <si>
    <t>Иные бюджетные ассигнования</t>
  </si>
  <si>
    <t>Резервные средства</t>
  </si>
  <si>
    <t>Резервный фонд администрации</t>
  </si>
  <si>
    <t>Другие общегосударственные вопросы</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</si>
  <si>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</si>
  <si>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 исполнительные листы)</t>
  </si>
  <si>
    <t>Исполнение судебных актов</t>
  </si>
  <si>
    <t>Отдельное мероприятие программы</t>
  </si>
  <si>
    <t>Транспорт</t>
  </si>
  <si>
    <t>Сельское хозяйство и рыболовство</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</si>
  <si>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</si>
  <si>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Муниципальная программа "Развитие транспортной системы в Мотыгинском районе"</t>
  </si>
  <si>
    <t>Предоставление субсидии   на компенсацию расходов возникающих в результате небольшой интенсивности пассажирских потоков, юридическим лицам независимо от организационно-правовой формы, индивидуальным предпринимателям, осуществляющим регулярные пассажирские перевозки по муниципальным маршрутам  в рамках подпрограммы "Развитие воздушного и автомобильного пассажирского транспорта."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</si>
  <si>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</si>
  <si>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Дорожное хозяйство</t>
  </si>
  <si>
    <t>Подпрограмма "Безопасность дорожного движения в Мотыгинском районе"</t>
  </si>
  <si>
    <t>Другие вопросы в области национальной экономики</t>
  </si>
  <si>
    <t>Оказание финансовой поддержки субъектам малого и среднего предпринимательства</t>
  </si>
  <si>
    <t>Предоставление субсидий бюджетным, автономным учреждениям и иным некоммерческим организациям</t>
  </si>
  <si>
    <t xml:space="preserve">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t>
  </si>
  <si>
    <t xml:space="preserve">Коммунальное хозяйство </t>
  </si>
  <si>
    <t>Муниципальная программа "Реформирование и модернизация жилищно-коммунального хозяйства и повышения энергетической эффективности"</t>
  </si>
  <si>
    <t>Другие вопросы в области образования</t>
  </si>
  <si>
    <t>Муниципальная  программа Мотыгинского района «Развитие общего и дополнительного образования в Мотыгинском районе »</t>
  </si>
  <si>
    <t>Подпрограмма «Обеспечение реализации муниципальной программы"</t>
  </si>
  <si>
    <t>0 340000000</t>
  </si>
  <si>
    <t>Муниципальная программа " Обеспечение доступным и комфортным жильем в Мотыгинском районе "</t>
  </si>
  <si>
    <t>Охрана семьи и детства</t>
  </si>
  <si>
    <t xml:space="preserve">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t>
  </si>
  <si>
    <t xml:space="preserve">Другие общегосударственные вопросы </t>
  </si>
  <si>
    <t>Подпрограмма "Развитие архивного дела в Мотыгинском районе"</t>
  </si>
  <si>
    <t>Обеспечение деятельности архивного фонда в Мотыгинском районе</t>
  </si>
  <si>
    <t>Расходы на выплаты персоналу казенных учреждений</t>
  </si>
  <si>
    <t>Субвенции бюджетам муниципальных образований на осуществление государственных полномочий в области архивного дела</t>
  </si>
  <si>
    <t>Общее образование</t>
  </si>
  <si>
    <t>Подпрограмма "Обеспечение условий реализации муниципальной программы и прочие мероприятия"</t>
  </si>
  <si>
    <t>Субсидии бюджетным учреждениям</t>
  </si>
  <si>
    <t>Культура</t>
  </si>
  <si>
    <t>Подпрограмма "Культурное наследие"</t>
  </si>
  <si>
    <t>Подпрограмма "Искусство и народное творчество"</t>
  </si>
  <si>
    <t>Молодежная политика и оздоровление детей</t>
  </si>
  <si>
    <t>Муниципальная программа "Молодежь Мотыгинского района в ХХ1 веке"</t>
  </si>
  <si>
    <t>Другие вопросы в области культуры, кинематографии</t>
  </si>
  <si>
    <t>Защита населения и территории от чрезвычайных ситуаций природного и техногенного характера, гражданская оборона</t>
  </si>
  <si>
    <t xml:space="preserve">Руководство и управление в сфере установленных функций органов исполнительной власти </t>
  </si>
  <si>
    <t>Пенсионное обеспечение</t>
  </si>
  <si>
    <t>Социальное обеспечение и иные выплаты населению</t>
  </si>
  <si>
    <t>Социальное обеспечение населения</t>
  </si>
  <si>
    <t>Другие вопросы в области социальной политики</t>
  </si>
  <si>
    <t>Уплата налогов, сборов и иных платежей</t>
  </si>
  <si>
    <t>Социальные выплаты гражданам, кроме публичных нормативных социальных выплат</t>
  </si>
  <si>
    <t>Всего</t>
  </si>
  <si>
    <t>Раздел, подраздел</t>
  </si>
  <si>
    <t>Наименование показателя бюджетной классификации</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</si>
  <si>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</si>
  <si>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</si>
  <si>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</si>
  <si>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</si>
  <si>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</si>
  <si>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</si>
  <si>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0104</t>
  </si>
  <si>
    <t>0106</t>
  </si>
  <si>
    <t>0111</t>
  </si>
  <si>
    <t>0113</t>
  </si>
  <si>
    <t>НАЦИОНАЛЬНАЯ ОБОРОНА</t>
  </si>
  <si>
    <t>0200</t>
  </si>
  <si>
    <t>0203</t>
  </si>
  <si>
    <t>НАЦИОНАЛЬНАЯ БЕЗОПАСНОСТЬ И ПРАВООХРАНИТЕЛЬНАЯ ДЕЯТЕЛЬНОСТЬ</t>
  </si>
  <si>
    <t>0300</t>
  </si>
  <si>
    <t>0309</t>
  </si>
  <si>
    <t>НАЦИОНАЛЬНАЯ ЭКОНОМИКА</t>
  </si>
  <si>
    <t>0400</t>
  </si>
  <si>
    <t xml:space="preserve"> Общеэкономические вопросы</t>
  </si>
  <si>
    <t>0401</t>
  </si>
  <si>
    <t>0405</t>
  </si>
  <si>
    <t>0408</t>
  </si>
  <si>
    <t>Дорожное хозяйство (дорожные фонды)</t>
  </si>
  <si>
    <t>0409</t>
  </si>
  <si>
    <t>0412</t>
  </si>
  <si>
    <t>ЖИЛИЩНО-КОММУНАЛЬНОЕ ХОЗЯЙСТВО</t>
  </si>
  <si>
    <t>0500</t>
  </si>
  <si>
    <t>Коммунальное хозяйство</t>
  </si>
  <si>
    <t>0502</t>
  </si>
  <si>
    <t>ОБРАЗОВАНИЕ</t>
  </si>
  <si>
    <t>0700</t>
  </si>
  <si>
    <t>Дошкольное образование</t>
  </si>
  <si>
    <t>0701</t>
  </si>
  <si>
    <t>0702</t>
  </si>
  <si>
    <t>0707</t>
  </si>
  <si>
    <t>0709</t>
  </si>
  <si>
    <t>КУЛЬТУРА, КИНЕМАТОГРАФИЯ</t>
  </si>
  <si>
    <t>0800</t>
  </si>
  <si>
    <t>0801</t>
  </si>
  <si>
    <t>0804</t>
  </si>
  <si>
    <t>СОЦИАЛЬНАЯ ПОЛИТИКА</t>
  </si>
  <si>
    <t>1000</t>
  </si>
  <si>
    <t>1001</t>
  </si>
  <si>
    <t>1003</t>
  </si>
  <si>
    <t>1006</t>
  </si>
  <si>
    <t>1400</t>
  </si>
  <si>
    <t>1401</t>
  </si>
  <si>
    <t>1403</t>
  </si>
  <si>
    <t>Условно утвержденные расходы</t>
  </si>
  <si>
    <t>ВСЕГО</t>
  </si>
  <si>
    <t/>
  </si>
  <si>
    <t>Подпрограмма "Развитие дошкольного образования"</t>
  </si>
  <si>
    <t>Подпрограмма «Развитие  общего образования»</t>
  </si>
  <si>
    <t>Подпрограмма «Развитие дополнительного образования детей»</t>
  </si>
  <si>
    <t xml:space="preserve">Подпрограмма "Повышение устойчивости и перспективное развитие коммунальной инфраструктуры Мотыгинского района" </t>
  </si>
  <si>
    <t>Отдельные мероприятия программы</t>
  </si>
  <si>
    <t>Подпрограмма "Безопасность дорожного движения в Мотыгинском районе "</t>
  </si>
  <si>
    <t>Подпрограмма "Переселение граждан из аварийного жилищного фонда в Мотыгинском районе"</t>
  </si>
  <si>
    <t>Подпрограмма "Обеспечение жильем молодых семей в Мотыгинском районе"</t>
  </si>
  <si>
    <t>Подпрограмма "Территориальное планирование, градостроительное зонирование и документация по планировке территории Мотыгинского района"</t>
  </si>
  <si>
    <t>Подпрограмма " Обеспечение работников органов местного самоуправления, муниципальных предприятий и учреждений Мотыгинского района служебным жильем за счет средств бюджета муниципального образования"</t>
  </si>
  <si>
    <t>Подпрограмма "Обеспечение жилыми помещениями детей-сирот и детей, оставшихся без попечения родителей, лиц из числа детей сирот и детей оставшихся без попечения родителей "</t>
  </si>
  <si>
    <t xml:space="preserve">Отдельные мероприятия </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</si>
  <si>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</si>
  <si>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социальной выплаты участников подпрограммы</t>
  </si>
  <si>
    <t>Муниципальная программа Мотыгинского района "Защита населения и территорий Мотыгинского района от чрезвычайных ситуаций природного и техногенного характера"</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</si>
  <si>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</si>
  <si>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Итого</t>
  </si>
  <si>
    <t>Приложение № 5</t>
  </si>
  <si>
    <t>к решению Мотыгинского районного</t>
  </si>
  <si>
    <t>Приложение № 6</t>
  </si>
  <si>
    <t>Приложение № 7</t>
  </si>
  <si>
    <t>099</t>
  </si>
  <si>
    <t>Подпрограмма "Обеспечение жилыми помещениями детей-сирот и детей, оставшихся без попечения родителей, лиц из числа детей сирот и детей оставшихся без попечения родителей"</t>
  </si>
  <si>
    <t>Капитальные вложения в объекты недвижимого имущества государственной (муниципальной) собственности</t>
  </si>
  <si>
    <t>Бюджетные инвестиции</t>
  </si>
  <si>
    <t>Судебная система</t>
  </si>
  <si>
    <t>Дополнительное образование</t>
  </si>
  <si>
    <t>094</t>
  </si>
  <si>
    <t>0105</t>
  </si>
  <si>
    <t>Дополнительное образование детей</t>
  </si>
  <si>
    <t>Молодежная политика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</si>
  <si>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</si>
  <si>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t>
  </si>
  <si>
    <t>Сумма на 2020 год</t>
  </si>
  <si>
    <t>Сумма на          2020 год</t>
  </si>
  <si>
    <t>951</t>
  </si>
  <si>
    <t>1004</t>
  </si>
  <si>
    <t>0703</t>
  </si>
  <si>
    <t>0500000000</t>
  </si>
  <si>
    <t>0520000000</t>
  </si>
  <si>
    <t>0520000210</t>
  </si>
  <si>
    <t>0700000000</t>
  </si>
  <si>
    <t>0710000000</t>
  </si>
  <si>
    <t>0730000000</t>
  </si>
  <si>
    <t>0510000000</t>
  </si>
  <si>
    <t>0510076010</t>
  </si>
  <si>
    <t>0510050010</t>
  </si>
  <si>
    <t>0510050030</t>
  </si>
  <si>
    <t>0600000000</t>
  </si>
  <si>
    <t>0610000000</t>
  </si>
  <si>
    <t>0900000000</t>
  </si>
  <si>
    <t>0790000000</t>
  </si>
  <si>
    <t>0790075770</t>
  </si>
  <si>
    <t>0790075700</t>
  </si>
  <si>
    <t>0300000000</t>
  </si>
  <si>
    <t>0340000000</t>
  </si>
  <si>
    <t>0340075520</t>
  </si>
  <si>
    <t>0800000000</t>
  </si>
  <si>
    <t>0810000000</t>
  </si>
  <si>
    <t>0200000000</t>
  </si>
  <si>
    <t>0220000000</t>
  </si>
  <si>
    <t>0220000610</t>
  </si>
  <si>
    <t>0220075190</t>
  </si>
  <si>
    <t>0620000000</t>
  </si>
  <si>
    <t>0310000000</t>
  </si>
  <si>
    <t>0310000610</t>
  </si>
  <si>
    <t>0310074080</t>
  </si>
  <si>
    <t>0310075880</t>
  </si>
  <si>
    <t>0310075540</t>
  </si>
  <si>
    <t>0320000000</t>
  </si>
  <si>
    <t>0320000610</t>
  </si>
  <si>
    <t>0320074090</t>
  </si>
  <si>
    <t>0320075640</t>
  </si>
  <si>
    <t>0330000000</t>
  </si>
  <si>
    <t>0330000660</t>
  </si>
  <si>
    <t>0340000610</t>
  </si>
  <si>
    <t>0340075560</t>
  </si>
  <si>
    <t>0320075660</t>
  </si>
  <si>
    <t>0240000000</t>
  </si>
  <si>
    <t>0240000610</t>
  </si>
  <si>
    <t>0400000000</t>
  </si>
  <si>
    <t>0420000000</t>
  </si>
  <si>
    <t>0210000000</t>
  </si>
  <si>
    <t>0210000610</t>
  </si>
  <si>
    <t>0210000630</t>
  </si>
  <si>
    <t>0230000000</t>
  </si>
  <si>
    <t>0230000640</t>
  </si>
  <si>
    <t>0230000650</t>
  </si>
  <si>
    <t>0230000660</t>
  </si>
  <si>
    <t xml:space="preserve">МУНИЦИПАЛЬНАЯ ПРОГРАММА МОТЫГИНСКОГО РАЙОНА "РАЗВИТИЕ КУЛЬТУРЫ И ТУРИЗМА" </t>
  </si>
  <si>
    <t>МУНИЦИПАЛЬНАЯ ПРОГРАММА МОТЫГИНСКОГО РАЙОНА «РАЗВИТИЕ ОБЩЕГО И ДОПОЛНИТЕЛЬНОГО ОБРАЗОВАНИЯ В МОТЫГИНСКОМ РАЙОНЕ »</t>
  </si>
  <si>
    <t>МУНИЦИПАЛЬНАЯ ПРОГРАММА "МОЛОДЕЖЬ МОТЫГИНСКОГО РАЙОНА В ХХ1 ВЕКЕ"</t>
  </si>
  <si>
    <t xml:space="preserve">МУНИЦИПАЛЬНАЯ ПРОГРАММА МОТЫГИНСКОГО РАЙОНА "УПРАВЛЕНИЕ МУНИЦИПАЛЬНЫМИ ФИНАНСАМИ" </t>
  </si>
  <si>
    <t>МУНИЦИПАЛЬНАЯ ПРОГРАММА "СОДЕЙСТВИЕ РАЗВИТИЮ МЕСТНОГО САМОУПРАВЛЕНИЯ"</t>
  </si>
  <si>
    <t>МУНИЦИПАЛЬНАЯ ПРОГРАММА "РЕФОРМИРОВАНИЕ И МОДЕРНИЗАЦИЯ ЖИЛИЩНО-КОММУНАЛЬНОГО ХОЗЯЙСТВА И ПОВЫШЕНИЯ ЭНЕРГЕТИЧЕСКОЙ ЭФФЕКТИВНОСТИ"</t>
  </si>
  <si>
    <t>МУНИЦИПАЛЬНАЯ ПРОГРАММА "ЗАЩИТА НАСЕЛЕНИЯ И ТЕРРИТОРИЙ МОТЫГИНСКОГО РАЙОНА ОТ ЧРЕЗВЫЧАЙНЫХ СИТУАЦИЙ ПРИРОДНОГО И ТЕХНОГЕННОГО ХАРАКТЕРА."</t>
  </si>
  <si>
    <t>МУНИЦИПАЛЬНАЯ ПРОГРАММА "РАЗВИТИЕ ТРАНСПОРТНОЙ СИСТЕМЫ В МОТЫГИНСКОМ РАЙОНЕ".</t>
  </si>
  <si>
    <t>МУНИЦИПАЛЬНАЯ ПРОГРАММА "ОБЕСПЕЧЕНИЕ ДОСТУПНЫМ И КОМФОРТНЫМ ЖИЛЬЕМ ЖИТЕЛЕЙ МОТЫГИНСКОГО РАЙОНА"</t>
  </si>
  <si>
    <t>НЕПРОГРАММНЫЕ РАСХОДЫ ОРГАНОВ ИСПОЛНИТЕЛЬНОЙ ВЛАСТИ</t>
  </si>
  <si>
    <t>ФИНАНСОВО-ЭКОНОМИЧЕСКОЕ УПРАВЛЕНИЕ АДМИНИСТРАЦИИ МОТЫГИНСКОГО РАЙОНА</t>
  </si>
  <si>
    <t xml:space="preserve">МЕЖБЮДЖЕТНЫЕ ТРАНСФЕРТЫ ОБЩЕГО ХАРАКТЕРА БЮДЖЕТАМ БЮДЖЕТНОЙ СИСТЕМЫ РОССИЙСКОЙ ФЕДЕРАЦИИ </t>
  </si>
  <si>
    <t>ПРОЧИЕ МЕЖБЮДЖЕТНЫЕ ТРАНСФЕРТЫ ОБЩЕГО ХАРАКТЕРА</t>
  </si>
  <si>
    <t>АДМИНИСТРАЦИЯ МОТЫГИНСКОГО РАЙОНА</t>
  </si>
  <si>
    <t>МУНИЦИПАЛЬНОЕ КАЗЁННОЕ УЧРЕЖДЕНИЕ "ЕДИНАЯ ДЕЖУРНО-ДИСПЕТЧЕРСКАЯ СЛУЖБА" МОТЫГИНСКОГО РАЙОНА</t>
  </si>
  <si>
    <t>МУНИЦИПАЛЬНОЕ КАЗЕННОЕ УЧРЕЖДЕНИЕ "МОТЫГИНСКИЙ РАЙОННЫЙ АРХИВ"</t>
  </si>
  <si>
    <t>МУНИЦИПАЛЬНОЕ КАЗЕННОЕ УЧРЕЖДЕНИЕ "ЦЕНТРАЛИЗОВАННАЯ БУХГАЛТЕРИЯ МУНИЦИПАЛЬНОГО ОБРАЗОВАНИЯ МОТЫГИНСКИЙ РАЙОН"</t>
  </si>
  <si>
    <t>МУНИЦИПАЛЬНОЕ КАЗЁННОЕ УЧРЕЖДЕНИЕ "УПРАВЛЕНИЕ ОБРАЗОВАНИЯ МОТЫГИНСКОГО РАЙОНА"</t>
  </si>
  <si>
    <t>МУНИЦИПАЛЬНОЕ КАЗЕННОЕ УЧРЕЖДЕНИЕ УПРАВЛЕНИЕ КУЛЬТУРЫ МОТЫГИНСКОГО РАЙОНА</t>
  </si>
  <si>
    <t>КОНТРОЛЬНО-СЧЕТНЫЙ ОРГАН МОТЫГИНСКОГО РАЙОНА</t>
  </si>
  <si>
    <t>МОТЫГИНСКИЙ РАЙОННЫЙ СОВЕТ ДЕПУТАТОВ</t>
  </si>
  <si>
    <t>Подпрограмма "Развитие внутреннего и въездного туризма"</t>
  </si>
  <si>
    <t>0250000000</t>
  </si>
  <si>
    <t>0410000000</t>
  </si>
  <si>
    <t>0430000000</t>
  </si>
  <si>
    <t>0720000000</t>
  </si>
  <si>
    <t>Реализация мероприятий на проведение и организацию акарицидных обработок мест массового отдыха населения</t>
  </si>
  <si>
    <t>0320076490</t>
  </si>
  <si>
    <t xml:space="preserve">Совета депутатов </t>
  </si>
  <si>
    <t>Совета депутатов</t>
  </si>
  <si>
    <t>МУНИЦИПАЛЬНАЯ ПРОГРАММА "РАЗВИТИЕ ФИЗИЧЕСКОЙ КУЛЬТУРЫ И СПОРТА НА ТЕРРИТОРИИ МОТЫГИНСКОГО РАЙОНА"</t>
  </si>
  <si>
    <t>Муниципальная программа "Обеспечение доступным и комфортным жильем жителей Мотыгинского района"</t>
  </si>
  <si>
    <t>Актуализация документов территориального планирования и градостроительного зонирования муниципальных образований Мотыгинского района</t>
  </si>
  <si>
    <t>02400L5190</t>
  </si>
  <si>
    <t>Физическая культура и спорт</t>
  </si>
  <si>
    <t>Физическая культура</t>
  </si>
  <si>
    <t>1100</t>
  </si>
  <si>
    <t>Муниципальная программа "Развитие физической культуры и спорта на территории Мотыгинского района"</t>
  </si>
  <si>
    <t>1101</t>
  </si>
  <si>
    <t>ФИЗИЧЕСКАЯ КУЛЬТУРА И СПОРТ</t>
  </si>
  <si>
    <t>Сумма на          2021 год</t>
  </si>
  <si>
    <t>Подпрограмма "Содержание автомобильных дорог общего пользования местного значения"</t>
  </si>
  <si>
    <t>Непрограммные расходы администрации Мотыгинского района</t>
  </si>
  <si>
    <t>Функционирование администрации Мотыгинского района</t>
  </si>
  <si>
    <t>Глава муниципального образования в рамках непрограммных расходов администрации Мотыгинского района</t>
  </si>
  <si>
    <t>8500000000</t>
  </si>
  <si>
    <t>8510000000</t>
  </si>
  <si>
    <t>8510000220</t>
  </si>
  <si>
    <t>Функционирование финансово-экономического управления администрации Мотыгинского района</t>
  </si>
  <si>
    <t>0690084020</t>
  </si>
  <si>
    <t>85100S5550</t>
  </si>
  <si>
    <t>Муниципальная программа " Обеспечение доступным и комфортным жильем жителей в Мотыгинского района"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</si>
  <si>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</si>
  <si>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Подпрограмма "Обеспечение реализации муниципальной программы"</t>
  </si>
  <si>
    <t>Субсидии юридическим лицам (за исключением государственных и  муниципальных учреждений) и  индивидуальным предпринимателям в целях возмещения недополученных доходов и (или) финансового обеспечения (возмещения) затрат, возникающих в связи с регулированием тарифов на перевозки пассажиров внутренним водным транспортом в местном сообщении</t>
  </si>
  <si>
    <t>10400S5080</t>
  </si>
  <si>
    <t>Связь и информатика</t>
  </si>
  <si>
    <t>0410</t>
  </si>
  <si>
    <t>11300S4660</t>
  </si>
  <si>
    <t>Реализация отдельных мер по обеспечению ограничения платы граждан за коммунальные услуги</t>
  </si>
  <si>
    <t>11200L4970</t>
  </si>
  <si>
    <t>11500R0820</t>
  </si>
  <si>
    <t>9100000000</t>
  </si>
  <si>
    <t>9170000000</t>
  </si>
  <si>
    <t>Функционирование централизованной бухгалтерии муниципального образования Мотыгинский район</t>
  </si>
  <si>
    <t>Непрограммные расходы казенных учреждений</t>
  </si>
  <si>
    <t>9170000610</t>
  </si>
  <si>
    <t>Функционирование службы строительства Мотыгинского района</t>
  </si>
  <si>
    <t>Непрограммные расходы Контрольно-счетного органа Мотыгинского района</t>
  </si>
  <si>
    <t>Функционирование Контрольно-счетного органа Мотыгинского района</t>
  </si>
  <si>
    <t>Функционирование Мотыгинского районного Совета депутатов</t>
  </si>
  <si>
    <t>Муниципальная программа  "Содействие развитию местного самоуправления"</t>
  </si>
  <si>
    <t>МУНИЦИПАЛЬНОЕ КАЗЕННОЕ УЧРЕЖДЕНИЕ "СЛУЖБА ЗЕМЕЛЬНО-ИМУЩЕСТВЕННЫХ ОТНОШЕНИЙ  МОТЫГИНСКОГО РАЙОНА"</t>
  </si>
  <si>
    <t>Функционирование службы земельно-имущественных отношений Мотыгинского района</t>
  </si>
  <si>
    <t>0610000850</t>
  </si>
  <si>
    <t>0610017110</t>
  </si>
  <si>
    <t>Муниципальная программа "Содействие развитию местного самоуправления""</t>
  </si>
  <si>
    <t>Организация общественных работ на территории Мотыгинского района, обеспечивающих временную занятость и материальную поддержку безработных граждан</t>
  </si>
  <si>
    <t>Подпрограмма "Устойчивое развитие сельских территорий"</t>
  </si>
  <si>
    <t>Предоставление выпадающих доходов , возникающих в результате поставки населению по регулируемым ценам (тарифам) электрической энергии, вырабатываемой дизельными электростанциями</t>
  </si>
  <si>
    <t>0810000610</t>
  </si>
  <si>
    <t>Финансирование расходов на содержание единых дежурно-диспетчерских служб</t>
  </si>
  <si>
    <t>08100S4130</t>
  </si>
  <si>
    <t>Благоустройство</t>
  </si>
  <si>
    <t>0503</t>
  </si>
  <si>
    <t>Подпрограмма "Благоустройство территорий поселений"</t>
  </si>
  <si>
    <t>02300L4660</t>
  </si>
  <si>
    <t>0240000660</t>
  </si>
  <si>
    <t>0690000000</t>
  </si>
  <si>
    <t>Подпрограмма "Осуществление деятельности по обеспечению безопасности в чрезвычайных ситуациях"</t>
  </si>
  <si>
    <t>08200000000</t>
  </si>
  <si>
    <t>Подпрограмма "Капитальный ремонт и ремонт автомобильных дорог общего пользования местного значения"</t>
  </si>
  <si>
    <t>НЕПРОГРАММГЫЕ РАСХОДЫ АДМИНИСТРАЦИИ МОТЫГИНСКОГО РАЙОНА</t>
  </si>
  <si>
    <t>НЕПРОГРАММНЫЕ РАХОДЫ КАЗЕННЫХ УЧРЕЖДЕНИЙ</t>
  </si>
  <si>
    <t>Обеспечение деятельности подведомственных учреждений в рамках непрограммных расходов</t>
  </si>
  <si>
    <t>9120000000</t>
  </si>
  <si>
    <t>НЕПРОГРАММНЫЕ РАСХОДЫ КОНТРОЛЬНО-СЧЕТНОГО ОРГАНА МОТЫГИНСКОГО РАЙОНА</t>
  </si>
  <si>
    <t>Сумма на 2021 год</t>
  </si>
  <si>
    <t>0320080210</t>
  </si>
  <si>
    <t>Подготовка общеобразовательных учреждений к новому учебному году</t>
  </si>
  <si>
    <t>Подпрограмма «Вовлечение молодежи Мотыгинского района в социальную практику "</t>
  </si>
  <si>
    <t>0410000610</t>
  </si>
  <si>
    <t>04100S4560</t>
  </si>
  <si>
    <t>952</t>
  </si>
  <si>
    <t>0420086030</t>
  </si>
  <si>
    <t>0430086060</t>
  </si>
  <si>
    <t>Подпрограмма "Патриотическое воспитание молодежи Мотыгинского района"</t>
  </si>
  <si>
    <t>Муниципальная программа "Содействие развитию местного самоуправления"</t>
  </si>
  <si>
    <t>Распределение бюджетных ассигнований по целевым статьям (муниципальным программам Мотыгинского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2019 год и плановый период 2020-2021 гг.</t>
  </si>
  <si>
    <t>Подпрограмма "Обеспечение реализации общественных и гражданских инициатив и поддержка социально ориентированных некоммерческих организаций"</t>
  </si>
  <si>
    <t>Подпрограмма " Чистая вода Мотыгинского района"</t>
  </si>
  <si>
    <t>Подпрограмма " Энергосбережение и повышение энергетической эффективности Мотыгинского района"</t>
  </si>
  <si>
    <t>Подпрограмма "Развитие воздушного, водного и автомобильного пассажирского транспорта."</t>
  </si>
  <si>
    <t>Подпрограмма "Содержание автомобильных дорог общего пользования местного значения "</t>
  </si>
  <si>
    <t>Подпрограмма "Развитие массовой физической культуры и спорта на территории Мотыгинского района"</t>
  </si>
  <si>
    <t>Подпрограмма "Внедрение Всероссийского физкультурно-спортивного комплекса "Готов к труду и обороне" (ГТО) в Мотыгинском районе"</t>
  </si>
  <si>
    <t xml:space="preserve">Муниципальная программа  "Развитие культуры и туризма" </t>
  </si>
  <si>
    <t xml:space="preserve">Муниципальная программа "Развитие культуры и туризма" </t>
  </si>
  <si>
    <t>Подпрограмма "Обеспечение реализации общественных и гражданских инициатив и поддержка социально-ориентированных некоммерческих организаций "</t>
  </si>
  <si>
    <t>Муниципальная программа Мотыгинского района"Управление муниципальными финансами"</t>
  </si>
  <si>
    <t>Муниципальная программа Мотыгинского района "Управление муниципальными финансами"</t>
  </si>
  <si>
    <t>на 2020 год и плановый период 2021-2022 гг.</t>
  </si>
  <si>
    <t>Сумма на          2022год</t>
  </si>
  <si>
    <t>Непрограммные расходы представительного органа власти</t>
  </si>
  <si>
    <t xml:space="preserve">Депутаты представительного органа </t>
  </si>
  <si>
    <t>957</t>
  </si>
  <si>
    <t>Руководство и управление в сфере установленных функций органов муниципальной  власти (за исключением фонда оплаты труда обслуживающего персонала) в рамках непрограммных расходов представительного органа власти</t>
  </si>
  <si>
    <t>Руководство и управление в сфере установленных функций органов муниципальной  власти ( фонд оплаты труда обслуживающего персонала) в рамках непрограммных расходов представительного органа власти</t>
  </si>
  <si>
    <t>МУНИЦИПАЛЬНОЕ КАЗЕННОЕ УЧРЕЖДЕНИЕ "СЛУЖБА КАПИТАЛЬНОГО СТРОИТЕЛЬСТВА И РЕМОНТА  МОТЫГИНСКОГО РАЙОНА"</t>
  </si>
  <si>
    <t>Осуществление части полномочий по исполнению бюджета поселения, ведения бухгалтерского учета и формирования бюджетной отчетности</t>
  </si>
  <si>
    <t>9170084560</t>
  </si>
  <si>
    <t xml:space="preserve">Субвенции бюджетам муниципальных образований на осуществление государственных полномочий в области архивного дела в рамках подпрограммы  "Развитие архивного дела в Мотыгинском районе" муниципальной программы Мотыгинского района "Развитие культуры и туризма" </t>
  </si>
  <si>
    <t>Муниципальная программа "Развитие культуры и туризма"</t>
  </si>
  <si>
    <t xml:space="preserve">Обеспечение деятельности в области архивного дела в рамках подпрограммы  "Развитие архивного дела в Мотыгинском районе" муниципальной программы Мотыгинского района "Развитие культуры и туризма" </t>
  </si>
  <si>
    <t xml:space="preserve">Обеспечение деятельности подведомственных учреждений в рамках подпрограммы "Осуществление деятельности по обеспечению безопасности в чрезвычайных ситуациях" муниципальной программы Мотыгинского района "Защита населения и территорий Мотыгинского района от чрезвычайных ситуаций природного и техногенного характера" </t>
  </si>
  <si>
    <t>НЕПРОГРАММНЫЕ РАСХОДЫ ПРЕДСТАВИТЕЛЬНЫХ ОРГАНОВ ВЛАСТИ</t>
  </si>
  <si>
    <t>Региональные выплаты и выплаты, обеспечивающие уровень заработной платы работника бюджетной сферы не ниже размера минимальной заработной платы (минимального размера оплаты труда</t>
  </si>
  <si>
    <t>9170010490</t>
  </si>
  <si>
    <t>0220010490</t>
  </si>
  <si>
    <t>0810010490</t>
  </si>
  <si>
    <t xml:space="preserve">Обеспечение деятельности (оказание услуг) подведомственных учреждений в рамках подпрограммы "Развитие дошкольного образования" муниципальной программы «Развитие общего и дополнительного образования в Мотыгинском районе »  </t>
  </si>
  <si>
    <t xml:space="preserve">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образования" муниципальной программы «Развитие общего и дополнительного образования в Мотыгинском районе »  </t>
  </si>
  <si>
    <t xml:space="preserve">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образования" муниципальной программы «Развитие общего и дополнительного образования в Мотыгинском районе »  </t>
  </si>
  <si>
    <t xml:space="preserve">Субвенции бюджетам муниципальных образований  на реализацию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образования" муниципальной программы «Развитие общего и дополнительного образования в Мотыгинском районе »  </t>
  </si>
  <si>
    <t>Обеспечение деятельности (оказание услуг) подведомственных учреждений в рамках подпрограммы "Развитие общего образования" муниципальной программы «Развитие общего и дополнительного образования в Мотыгинском районе »</t>
  </si>
  <si>
    <t xml:space="preserve">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общего образования" муниципальной программы «Развитие общего и дополнительного образования в Мотыгинском районе »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</si>
  <si>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общего образования" муниципальной программы «Развитие общего и дополнительного образования в Мотыгинском районе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</si>
  <si>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общего образования" муниципальной программы «Развитие общего и дополнительного образования в Мотыгинском районе »</t>
  </si>
  <si>
    <t>Руководство и управление в сфере делегированных полномочий в рамках подпрограммы "Обеспечение реализации муниципальной программы" муниципальной программы «Развитие общего и дополнительного образования в Мотыгинском районе »</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</si>
  <si>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"Обеспечение реализации муниципальной программы" муниципальной программы «Развитие общего и дополнительного образования в Мотыгинском районе »</t>
  </si>
  <si>
    <t>Субвенции бюджетам муниципальных образований края на реализацию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общего образования" муниципальной программы «Развитие общего и дополнительного образования в Мотыгинском районе »</t>
  </si>
  <si>
    <t>0310010490</t>
  </si>
  <si>
    <t>0320010490</t>
  </si>
  <si>
    <t>0330010490</t>
  </si>
  <si>
    <t>0340010490</t>
  </si>
  <si>
    <t>Обеспечение деятельности (оказание услуг) подведомственных учреждений в рамках подпрограммы "Развитие дополнительного образования детей" муниципальной программы «Развитие дополнительного образования в Мотыгинском районе »</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</si>
  <si>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"Развитие культуры и туризма"</t>
  </si>
  <si>
    <t>Обеспечение деятельности, содержание МБУ "Молодежный центр Мотыгинского района  в рамках подпрограммы «Вовлечение молодежи Мотыгинского района в социальную практику "муниципальной программа "Молодежь Мотыгинского района в ХХ1 веке"</t>
  </si>
  <si>
    <t>Создание условий для развития и совершенствования системы патриотического воспитания молодежи Мотыгинского района в рамках подпрограммы "Патриотическое воспитание молодежи Мотыгинского района" муниципальной программа "Молодежь Мотыгинского района в ХХ1 веке"</t>
  </si>
  <si>
    <t>Содействие формированию пространства, способствующего развитию гражданских инициатив и поддержка социально-ориентированных некоммерческих организаций на территории Мотыгинского района  в рамках подпрограммы "Обеспечение реализации общественных и гражданских инициатив и поддержка социально-ориентированных некоммерческих организаций " муниципальной программа "Молодежь Мотыгинского района в ХХ1 веке"</t>
  </si>
  <si>
    <t xml:space="preserve">Обеспечение деятельности (оказание услуг) подведомственных учреждений  (развитие библиотечного дела) в рамках подпрограммы "Культурное наследие" муниципальной программы  "Развитие культуры и туризма" </t>
  </si>
  <si>
    <t xml:space="preserve">Обеспечение деятельности (оказание услуг) подведомственных учреждений (музей) в рамках подпрограммы "Культурное наследие"  муниципальной программы  "Развитие культуры и туризма" </t>
  </si>
  <si>
    <t xml:space="preserve">Обеспечение деятельности (оказание услуг) подведомственных учреждений (театр) в рамках подпрограммы "Искусство и народное творчество"  муниципальной программы  "Развитие культуры и туризма" </t>
  </si>
  <si>
    <t xml:space="preserve">Обеспечение деятельности (оказание услуг) подведомственных учреждений (СКЦ) в рамках подпрограммы "Искусство и народное творчество" муниципальной программы  "Развитие культуры и туризма" </t>
  </si>
  <si>
    <t xml:space="preserve">Обеспечение деятельности (оказание услуг) подведомственных учреждений (СДК) в рамках подпрограммы "Искусство и народное творчество" муниципальной программы  "Развитие культуры и туризма" </t>
  </si>
  <si>
    <t xml:space="preserve">Комплектование книжных фондов библиотек Мотыгинского района в рамках подпрограммы "Обеспечение условий реализации муниципальной программы и прочие мероприятия" муниципальной программы  "Развитие культуры и туризма" </t>
  </si>
  <si>
    <t xml:space="preserve">Комплектование книжных фондов библиотек  муниципального образования Мотыгинский район в рамках подпрограммы "Обеспечение условий реализации муниципальной программы и прочие мероприятия" муниципальной программы  "Развитие культуры и туризма" </t>
  </si>
  <si>
    <t>0110000000</t>
  </si>
  <si>
    <t>0110080070</t>
  </si>
  <si>
    <t>0120000000</t>
  </si>
  <si>
    <t>0120080080</t>
  </si>
  <si>
    <t>Реализация комплекса мер, направленных на стимулирование и вовлечение населения в занятия физической культурой и спортом в рамках подпрограммы "Развитие массовой физической культуры и спорта на территории Мотыгинского района" муниципальной программы "Развитие физической культуры и спорта на территории Мотыгинского района"</t>
  </si>
  <si>
    <t>Создание условий для развития и популяризации комплекса ГТО на территории Мотыгинского района в рамках подпрограммы "Внедрение Всероссийского физкультурно-спортивного комплекса "Готов к труду и обороне" (ГТО) в Мотыгинском районе" муниципальной программы "Развитие физической культуры и спорта на территории Мотыгинского района"</t>
  </si>
  <si>
    <t>0100000000</t>
  </si>
  <si>
    <t>Поддержка деятельности муниципальных молодежных центров в рамках подпрограммы «Вовлечение молодежи Мотыгинского района в социальную практику "муниципальной программа "Молодежь Мотыгинского района в ХХ1 веке"</t>
  </si>
  <si>
    <t xml:space="preserve">Проведение мероприятий, посвященных празднованию Дня победы  в рамках подпрограммы "Искусство и народное творчество" муниципальной программы  "Развитие культуры и туризма" </t>
  </si>
  <si>
    <t>0230080250</t>
  </si>
  <si>
    <t>0230080260</t>
  </si>
  <si>
    <t>0240010490</t>
  </si>
  <si>
    <t>0410010490</t>
  </si>
  <si>
    <t xml:space="preserve">Руководство и управление в сфере установленных функций органов местного самоуправления в рамках подпрограммы "Обеспечение условий реализации муниципальной программы и прочие мероприятия" муниципальной программы  "Развитие культуры и туризма" </t>
  </si>
  <si>
    <t>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общего образования" муниципальной программы «Развитие общего и дополнительного образования в Мотыгинском районе »</t>
  </si>
  <si>
    <t>03200S5630</t>
  </si>
  <si>
    <t>Региональные выплаты и выплаты, обеспечивающие уровень заработной платы работника бюджетной сферы не ниже размера минимальной заработной платы (минимального размера оплаты труда)</t>
  </si>
  <si>
    <t>Оценка недвижимости , признание прав и регулирование отношений по государственной и муниципальной собственности в рамках подпрограммы "Эффективное управление муниципальной собственностью" муниципальной программы "Содействие развитию местного самоуправления"</t>
  </si>
  <si>
    <t>Мероприятия по землеустройству и землепользованию   в рамках подпрограммы "Эффективное управление муниципальной собственностью" муниципальной программы "Содействие развитию местного самоуправления"</t>
  </si>
  <si>
    <t>Руководство и управление в сфере установленных функций органов муниципальной  власти (за исключением фонда оплаты труда обслуживающего персонала) в рамках подпрограммы «Обеспечение реализации муниципальной программы и прочие мероприятия» муниципальной  программы Мотыгинского района «Управление муниципальными финансами»</t>
  </si>
  <si>
    <t>Руководство и управление в сфере установленных функций органов муниципальной  власти ( фонд оплаты труда обслуживающего персонала) в рамках подпрограммы «Обеспечение реализации муниципальной программы и прочие мероприятия» муниципальной  программы Мотыгинского района «Управление муниципальными финансами»</t>
  </si>
  <si>
    <t>0520000220</t>
  </si>
  <si>
    <t>Осуществление первичного воинского учета на территориях, где отсутствуют военные комиссариаты в рамках непрограммных расходов отдельных органов исполнительной власти</t>
  </si>
  <si>
    <t>Субсидия бюджетам муниципальных образований на содержание автомобильных дорог общего пользования местного значения в рамках подпрограммы "Содержание автомобильных дорог общего пользования местного значения" муниципальной программы "Развитие транспортной системы в Мотыгинском районе"</t>
  </si>
  <si>
    <t>Субсидии</t>
  </si>
  <si>
    <t>062F255550</t>
  </si>
  <si>
    <t>Предоставление дотаций на выравнивание бюджетной обеспеченности муниципальных образований Мотыгинского района счет средств районного  бюджета в рамках подпрограммы  " Создание условий для эффективного и ответственного управления муниципальными финансами, повышение устойчивости бюджетов муниципальных образований Мотыгинского района" муниципальной программы "Управление муниципальными финансами"</t>
  </si>
  <si>
    <t>Жилищное хозяйство</t>
  </si>
  <si>
    <t>0501</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</si>
  <si>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корпорации-Фонд содействия реформированию жилищно-коммунального хозяйства в рамках подпрограммы  "Переселение граждан из аварийного жилищного фонда в Мотыгинском районе" муниципальной программы "Обеспечение доступным и комфортным жильем жителей Мотыгинского района"</t>
  </si>
  <si>
    <t>111F367483</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</si>
  <si>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Мотыгинском районе" муниципальной программы "Обеспечение доступным и комфортным жильем жителей Мотыгинского района"</t>
  </si>
  <si>
    <t>111F367484</t>
  </si>
  <si>
    <t>Субсидия бюджетам муниципальных образований  на софинансирование муниципальных программ формирование современной городской среды  в рамках подпрограммы "Благоустройство территорий поселений" муниципальной программы "Содействие развитию местного самоуправления"</t>
  </si>
  <si>
    <t>Руководство и управление в сфере установленных функций органов муниципальной  власти (за исключением фонда оплаты труда обслуживающего персонала)  в рамках непрограммных расходов администрации Мотыгинского района</t>
  </si>
  <si>
    <t>8510000250</t>
  </si>
  <si>
    <t>Руководство и управление в сфере установленных функций органов муниципальной  власти ( фонд оплаты труда обслуживающего персонала) в рамках непрограммных расходов администрации Мотыгинского района</t>
  </si>
  <si>
    <t>Муниципальная программа "Развитие малого, среднего предпринимательства и  сельского хозяйства в Мотыгинском районе"</t>
  </si>
  <si>
    <t>0920000000</t>
  </si>
  <si>
    <t>0920075170</t>
  </si>
  <si>
    <t>Создание условий для развития услуг связи в малочисленных и труднодоступных населенных пунктах Мотыгинского района</t>
  </si>
  <si>
    <t>109D276450</t>
  </si>
  <si>
    <t xml:space="preserve">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t>
  </si>
  <si>
    <t>Обеспечение пожарной безопасности</t>
  </si>
  <si>
    <t>0310</t>
  </si>
  <si>
    <t>Субсидия бюджетам муниципальных образований на обеспечение первичных мер пожарной безопасности</t>
  </si>
  <si>
    <t>9200000000</t>
  </si>
  <si>
    <t>9210000000</t>
  </si>
  <si>
    <t>9210010490</t>
  </si>
  <si>
    <t>МУНИЦИПАЛЬНАЯ ПРОГРАММА "РАЗВИТИЕ МАЛОГО,СРЕДНЕГО ПРЕДПРИНИМАТЕЛЬСТВА И СЕЛЬСКОГО ХОЗЯЙСТВА В МОТЫГИНСКОМ РАЙОНЕ"</t>
  </si>
  <si>
    <t>0910000000</t>
  </si>
  <si>
    <t>Подпрограмма "Эффективное управление муниципальной собственностью и земельными ресурсами на территории Мотыгинского района"</t>
  </si>
  <si>
    <t>0630000000</t>
  </si>
  <si>
    <t>0920075180</t>
  </si>
  <si>
    <t>09100S6070</t>
  </si>
  <si>
    <t>0520010490</t>
  </si>
  <si>
    <t>8510010490</t>
  </si>
  <si>
    <t>Капитальный ремонт и ремонт автомобильных дорог общего пользования местного значения</t>
  </si>
  <si>
    <t>10300S5090</t>
  </si>
  <si>
    <t>Субвенции бюджетам муниципальных образований на осуществление деятельности по опеке и попечительству в отношении совершеннолетних граждан, а также в сфере патронажа</t>
  </si>
  <si>
    <t>Осуществление полномочий по внутреннему финансовому контролю</t>
  </si>
  <si>
    <t>9210084550</t>
  </si>
  <si>
    <t>Оплата взносов за капитальный ремонт региональному фонду</t>
  </si>
  <si>
    <t>Подпрограмма "Обеспечение реализации и прочие мероприятия"</t>
  </si>
  <si>
    <t>Исполнение полномочий района по предоставлению выплаты пенсии за выслугу лет  лицам, замещавшим муниципальные должности муниципальной службы в рамках подпрограммы "Обеспечение реализации и прочие мероприятия" муниципальной программы  "Содействие развитию местного самоуправления"</t>
  </si>
  <si>
    <t>0630001110</t>
  </si>
  <si>
    <t>Публичные нормативные социальные выплаты гражданам</t>
  </si>
  <si>
    <t>0630080010</t>
  </si>
  <si>
    <t>Предоставление адресной материальной помощи ко Дню Победы  в рамках подпрограммы "Обеспечение реализации и прочие мероприятия" муниципальной программы  "Содействие развитию местного самоуправления"</t>
  </si>
  <si>
    <t>0630080020</t>
  </si>
  <si>
    <t>0107</t>
  </si>
  <si>
    <t>Обеспечение проведения выборов и референдумов</t>
  </si>
  <si>
    <t>Проведение выборов в представительные органы власти в рамках непрограммных расходов администрации Мотыгинского района</t>
  </si>
  <si>
    <t>Специальные расходы</t>
  </si>
  <si>
    <t>Распределение бюджетных ассигнований по разделам и 
подразделам бюджетной классификации расходов бюджетов Российской Федерации 
на 2020 год и плановый период 2021-2022 годов</t>
  </si>
  <si>
    <t>Сумма на  2020 год</t>
  </si>
  <si>
    <t>Сумма на 2022год</t>
  </si>
  <si>
    <t xml:space="preserve">Проведение мероприятий, посвященных юбилею Мотыгинского района в рамках подпрограммы "Искусство и народное творчество" муниципальной программы  "Развитие культуры и туризма" </t>
  </si>
  <si>
    <t xml:space="preserve">Комплектование книжных фондов библиотек Мотыгинского района   в рамках подпрограммы "Обеспечение условий реализации муниципальной программы и прочие мероприятия" муниципальной программы  "Развитие культуры и туризма" </t>
  </si>
  <si>
    <t>Предоставление единовременной адресной материальной помощи гражданам, находящимся в трудной жизненной ситуации в рамках подпрограммы "Обеспечение реализации и прочие мероприятия" муниципальной программы  "Содействие развитию местного самоуправления"</t>
  </si>
  <si>
    <t>Председатель представительного органа муниципальной власти муниципального района в рамках непрограммных расходов представительного органа власти</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</si>
  <si>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исполнительной власти</t>
  </si>
  <si>
    <t>Финансирование расходов на реализацию мероприятий муниципальных программ района в рамках непрограммных расходов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</si>
  <si>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Мотыгинского района</t>
  </si>
  <si>
    <t>0310080210</t>
  </si>
  <si>
    <t>Подготовка дошкольных учреждений к новому учебному году</t>
  </si>
  <si>
    <t>0330080210</t>
  </si>
  <si>
    <t>Подготовка  учреждений дополнительного образования к новому учебному году</t>
  </si>
  <si>
    <t>Предоставление дотаций на выравнивание бюджетной обеспеченности муниципальных образований Мотыгинского района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 Создание условий для эффективного и ответственного управления муниципальными финансами, повышение устойчивости бюджетов муниципальных образований Мотыгинского района" муниципальной программы "Управление муниципальными финансами"</t>
  </si>
  <si>
    <t>Иной межбюджетный трансферт для регулирования сбалансированности бюджетов поселений при осуществлении полномочий по решению вопросов местного значения в рамках подпрограммы  " Создание условий для эффективного и ответственного управления муниципальными финансами, повышение устойчивости бюджетов муниципальных образований Мотыгинского района" муниципальной программы "Управление муниципальными финансами"</t>
  </si>
  <si>
    <t>Организация деятельности лагерей с дневным пребыванием детей</t>
  </si>
  <si>
    <t>0320088270</t>
  </si>
  <si>
    <t>Сумма на 2022 год</t>
  </si>
  <si>
    <t>Подпрограмма "Профилактика правонарушений и укрепление общественного порядка и общественной безопасности"</t>
  </si>
  <si>
    <t>Другие вопросы в области жилищно-коммунального хозяйства</t>
  </si>
  <si>
    <t>0505</t>
  </si>
  <si>
    <t>Муниципальная программа "Реформирование и модернизация жилищно-коммунального хозяйства и повышение энергетической эффективности"</t>
  </si>
  <si>
    <t>Субсидия бюджетам муниципальных образований Мотыгинского района на разработку проекта  на строительство объектов коммунальной инфраструктуры, в целях ввода в эксплуатацию социально-значимых объектов, находящихся в стадии строительства с получением положительной государственной экспертизы</t>
  </si>
  <si>
    <t>Подпрограмма "Повышение устойчивости и перспективное развитие коммунальной инфраструктуры Мотыгинского района"</t>
  </si>
  <si>
    <t>0730087080</t>
  </si>
  <si>
    <t>Субсидия бюджетам муниципальных образований Мотыгинского района на ремонт коммунальной инфраструктуры</t>
  </si>
  <si>
    <t>0730085200</t>
  </si>
  <si>
    <t>Подпрограмма "Чистая вода Мотыгинского района"</t>
  </si>
  <si>
    <t>0710085010</t>
  </si>
  <si>
    <t>0710085011</t>
  </si>
  <si>
    <t>Субсидия бюджетам муниципальных образований Мотыгинского района на реализацию мероприятий по капитальному ремонту, реконструкции, модернизации и строительству объектов водоснабжения коммунальной инфраструктуры</t>
  </si>
  <si>
    <t>Реализация мероприятий по содержанию автомобильных дорог общего пользования местного значения муниципальных районов</t>
  </si>
  <si>
    <t>Осуществление части полномочий по градостроительной деятельности</t>
  </si>
  <si>
    <t>Осуществление ликвидационных мероприятий, связанных с прекращением исполнения органами местного самоуправления государственных полномочий в сфере социальной политики</t>
  </si>
  <si>
    <t>08100S4120</t>
  </si>
  <si>
    <t>02400S4860</t>
  </si>
  <si>
    <t>Оснащение музыкальными инструментами детских школ искусств в рамках подпрограммы "Обеспечение условий реализации муниципальной программы и прочие мероприятия" муниципальной программы "Развитие культуры и туризма"</t>
  </si>
  <si>
    <t>Оснащение музыкальными  инструментами детских школ искусств в рамках подпрограммы "Обеспечение условий реализации муниципальной программы и прочие мероприятия" муниципальной программы "Развитие культуры и туризма"</t>
  </si>
  <si>
    <t>02400S4880</t>
  </si>
  <si>
    <t>ОБСЛУЖИВАНИЕ ГОСУДАРСТВЕННОГО И МУНИЦИПАЛЬНОГО ДОЛГА</t>
  </si>
  <si>
    <t>1300</t>
  </si>
  <si>
    <t>Обслуживание государственного внутреннего и муниципального долга</t>
  </si>
  <si>
    <t>1301</t>
  </si>
  <si>
    <t>Расходы на обслуживание муниципального долга</t>
  </si>
  <si>
    <t>Обслуживание государственного (муниципального) долга</t>
  </si>
  <si>
    <t>Обслуживание муниципального долга</t>
  </si>
  <si>
    <t>ОБСЛУЖИВАНИЕ ГОСУДАРСТВЕННОГО И МУНИЦИПАЛЬЕНОГО ДОЛГА</t>
  </si>
  <si>
    <t>Обслуживание государственного и внутреннего долга</t>
  </si>
  <si>
    <t>85100S4240</t>
  </si>
  <si>
    <t>Частичное финансирование расходов на повышение с 1 июня 2020 размеров оплаты труда отдельным категориям работников бюджетной сферы</t>
  </si>
  <si>
    <t>0220010360</t>
  </si>
  <si>
    <t>9170010360</t>
  </si>
  <si>
    <t>0810010360</t>
  </si>
  <si>
    <t>0320053030</t>
  </si>
  <si>
    <t>03200S8400</t>
  </si>
  <si>
    <t>032Е452100</t>
  </si>
  <si>
    <t>032Е151690</t>
  </si>
  <si>
    <t>0330010360</t>
  </si>
  <si>
    <t>0330010480</t>
  </si>
  <si>
    <t>0340010360</t>
  </si>
  <si>
    <t>0320053040</t>
  </si>
  <si>
    <t>03200S4300</t>
  </si>
  <si>
    <t>955</t>
  </si>
  <si>
    <t>0240010360</t>
  </si>
  <si>
    <t>0240010480</t>
  </si>
  <si>
    <t>0410010360</t>
  </si>
  <si>
    <t>0210010480</t>
  </si>
  <si>
    <t>0230010480</t>
  </si>
  <si>
    <t>02400L4670</t>
  </si>
  <si>
    <t>0520010360</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</si>
  <si>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"Безопасность дорожного движения" муниципальной программы "Развитие транспортной системы в Мотыгинском районе"</t>
  </si>
  <si>
    <t>102R310601</t>
  </si>
  <si>
    <t>Субсидия бюджетам муниципальных образований на софинансирование муниципальных программ формирование современной городской среды в рамках подпрограммы "Благоустройство территорий поселений" муниципальной программы "Содействие развитию местного самоуправления"</t>
  </si>
  <si>
    <t>06200S4590</t>
  </si>
  <si>
    <t>Субсидия бюджетам муниципальных образований на реализацию проектов по благоустройству территорий сельских населенных пунктов с численностью населения не более 10000 человек в рамках подпрограммы " Благоустройство территорий поселений" муниципальной программы "Содействие развитию местного самоуправления"</t>
  </si>
  <si>
    <t>06200S7410</t>
  </si>
  <si>
    <t>Субсидии бюджетам муниципальных образований для реализации проектов по решению вопросов местного значения сельских поселений  в рамках подпрограммы " Благоустройство территорий поселений" муниципальной программы "Содействие развитию местного самоуправления"</t>
  </si>
  <si>
    <t>06200S7490</t>
  </si>
  <si>
    <t>Субсидии бюджетам муниципальных образований на частичное финансирование расходов на повышение с 1 июня 2020 размеров оплаты труда отдельным категориям работников бюджетной сферы</t>
  </si>
  <si>
    <t>9210010360</t>
  </si>
  <si>
    <t>8510010360</t>
  </si>
  <si>
    <t>Субвенция на проведение Всероссийской переписи населения 2020 года в рамках непрограммных расходов администрации Мотыгинского района</t>
  </si>
  <si>
    <t>03200S3910</t>
  </si>
  <si>
    <t>Охрана окружающей среды</t>
  </si>
  <si>
    <t>0600</t>
  </si>
  <si>
    <t>0603</t>
  </si>
  <si>
    <t>УПРАВЛЕНИЕ СОЦИАЛЬНОЙ ЗАЩИТЫ НАСЕЛЕНИЯ АДМИНИСТРАЦИИ МОТЫГИНСКОГО РАЙОНА</t>
  </si>
  <si>
    <t>Функционирование социальной защиты населения администрации Мотыгинского района</t>
  </si>
  <si>
    <t>953</t>
  </si>
  <si>
    <t>Осуществление ликвидационных мероприятий, связанных с прекращением исполнения органами местного самоуправления отдельных государственных полномочий в рамках непрограммных расходов органов исполнительной власти</t>
  </si>
  <si>
    <t>92200S4240</t>
  </si>
  <si>
    <t>ОХРАНА ОКРУЖАЮЩЕЙ СРЕДЫ</t>
  </si>
  <si>
    <t>Охрана объектов растительного и животного мира среды их обитания</t>
  </si>
  <si>
    <t>Приобретение (выкуп) спортивного зала для МБОУ Новоангарская СОШ</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</si>
  <si>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 Развитие общего образования" муниципальной программы Мотыгинского района "Развитие общего и дополнительного образования в Мотыгинском районе"</t>
  </si>
  <si>
    <t>Создание в общеобразовательных организациях, расположенных в сельской местности и малых городах, условий для занятия физической культурой и спортом в рамках подпрограммы "Развитие общего образования" муниципальной программы  Мотыгинского района "Развитие общего и дополнительного образования в Мотыгинском районе"</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</si>
  <si>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общего образования" муниципальной программы  Мотыгинского района "Развитие общего и дополнительного образования в Мотыгинском районе"</t>
  </si>
  <si>
    <t>Создание (обновление) МТБ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общего образования" муниципальной программы  Мотыгинского района "Развитие общего и дополнительного образования в Мотыгинском районе"</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</si>
  <si>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общего образования" муниципальной программы  Мотыгинского района "Развитие общего и дополнительного образования в Мотыгинском районе"</t>
  </si>
  <si>
    <t>Средства на частичное финансирование (возмещение) расходов на повышение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е оплаты труда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</si>
  <si>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общего образования" муниципальной программы «Развитие общего и дополнительного образования в Мотыгинском районе »</t>
  </si>
  <si>
    <t>Субсидии бюджетам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"Повышение устойчивости и перспективное развитие коммунальной инфраструктуры Мотыгинского района" муниципальной программы Мотыгинского района «Реформирование и модернизация жилищно-коммунального хозяйства и повышение энергетической эффективности»</t>
  </si>
  <si>
    <t>07300S5710</t>
  </si>
  <si>
    <t>06100S7450</t>
  </si>
  <si>
    <t>Содержание имущества, находящегося в муниципальной собственности</t>
  </si>
  <si>
    <t>851W058530</t>
  </si>
  <si>
    <t>Осуществление части полномочий по капитальному ремонту дорог общего пользования местного значения</t>
  </si>
  <si>
    <t>Оплата соглашения об уступке права (требования) бывшим работникам МУТП "Ангара" в рамках непрогаммных расходов администрации Мотыгинского района</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</si>
  <si>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</si>
  <si>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Субсидия бюджетам муниципальных образований Мотыгинского района на реализацию мероприятий по организации поисково-оценочных работ, оценки запасов подземных питьевых вод с целью водоснабжения поселений</t>
  </si>
  <si>
    <t xml:space="preserve">Иной межбюджетный трансферт бюджетам муниципальных образований за содействие развитию налогового потенциала в рамках подпрограммы "Эффективное управление муниципальной собственностью и земельными ресурсами на территории Мотыгинского района" муниципальной </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</si>
  <si>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муниципальной программы "Развитие транспортной системы в Мотыгинском районе"</t>
  </si>
  <si>
    <t>102R374270</t>
  </si>
  <si>
    <t xml:space="preserve">Осуществление части полномочий по осуществлению дорожной деятельности в отношении дорог местного значения в границах населенных пунктов муниципальных образований Мотыгинского района Красноярского края  </t>
  </si>
  <si>
    <t>Приложение № 3</t>
  </si>
  <si>
    <t>от 18.12.2019 № 35-343</t>
  </si>
  <si>
    <t>Приложение № 4</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</si>
  <si>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 человекв рамках подпрограммы "Искусство и народное творчество" муниципальной программы "Развитие культуры и туризма"*</t>
  </si>
  <si>
    <t>Обеспечение развития и укрепления МТБ домов культуры в населенных пунктах с числом жителей до 50 тыс. человек в рамках подпрограммы "Обеспечение условий реализации муниципальной программы и прочие мероприятия" муниципальной программы Мотыгинского района "</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</si>
  <si>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 человек рамках подпрограммы "Искусство и народное творчество" муниципальной программы "Развитие культуры и туризма"*</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</si>
  <si>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 Развитие общего образования" муниципальной программы Мотыгинского района "Развитие общего и дополнительного образования в Мотыгинском районе"</t>
  </si>
  <si>
    <t>Обеспечение санитарно-эпидемиологической безопасности по подготовке и  проведению выборов на территории Мотыгинского района</t>
  </si>
  <si>
    <t>от 13.08.2020 г. №  39-371</t>
  </si>
  <si>
    <t>от 13.08.2020 г.  № 39-371</t>
  </si>
  <si>
    <t>от 13.08.2020 г. № 39-371</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</si>
</sst>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0.0"/>
    <numFmt numFmtId="166" formatCode="0.0"/>
    <numFmt numFmtId="167" formatCode="?"/>
  </numFmts>
  <fonts count="28">
    <font>
      <sz val="11"/>
      <color theme="1"/>
      <name val="Calibri"/>
      <family val="2"/>
      <charset val="204"/>
      <scheme val="minor"/>
    </font>
    <font>
      <b/>
      <sz val="12"/>
      <name val="Times New Roman"/>
      <family val="1"/>
      <charset val="204"/>
    </font>
    <font>
      <sz val="12"/>
      <name val="Times New Roman"/>
      <family val="1"/>
      <charset val="204"/>
    </font>
    <font>
      <sz val="11"/>
      <color theme="1"/>
      <name val="Times New Roman"/>
      <family val="1"/>
      <charset val="204"/>
    </font>
    <font>
      <sz val="11"/>
      <color rgb="FF000000"/>
      <name val="Times New Roman"/>
      <family val="1"/>
      <charset val="204"/>
    </font>
    <font>
      <sz val="12"/>
      <color indexed="8"/>
      <name val="Times New Roman"/>
      <family val="1"/>
      <charset val="204"/>
    </font>
    <font>
      <sz val="11"/>
      <name val="Times New Roman"/>
      <family val="1"/>
      <charset val="204"/>
    </font>
    <font>
      <sz val="12"/>
      <color rgb="FF000000"/>
      <name val="Times New Roman"/>
      <family val="1"/>
      <charset val="204"/>
    </font>
    <font>
      <sz val="10"/>
      <name val="Arial Cyr"/>
      <charset val="204"/>
    </font>
    <font>
      <b/>
      <sz val="11"/>
      <name val="Times New Roman"/>
      <family val="1"/>
      <charset val="204"/>
    </font>
    <font>
      <sz val="8"/>
      <color indexed="8"/>
      <name val="Calibri"/>
      <family val="2"/>
      <charset val="204"/>
    </font>
    <font>
      <b/>
      <sz val="11"/>
      <color theme="1"/>
      <name val="Times New Roman"/>
      <family val="1"/>
      <charset val="204"/>
    </font>
    <font>
      <sz val="11"/>
      <color theme="1"/>
      <name val="Calibri"/>
      <family val="2"/>
      <charset val="204"/>
      <scheme val="minor"/>
    </font>
    <font>
      <b/>
      <i/>
      <sz val="12"/>
      <color rgb="FF000000"/>
      <name val="Times New Roman"/>
      <family val="1"/>
      <charset val="204"/>
    </font>
    <font>
      <sz val="11"/>
      <color indexed="8"/>
      <name val="Times New Roman"/>
      <family val="1"/>
      <charset val="204"/>
    </font>
    <font>
      <i/>
      <sz val="11"/>
      <color theme="1"/>
      <name val="Times New Roman"/>
      <family val="1"/>
      <charset val="204"/>
    </font>
    <font>
      <b/>
      <i/>
      <sz val="11"/>
      <color theme="1"/>
      <name val="Times New Roman"/>
      <family val="1"/>
      <charset val="204"/>
    </font>
    <font>
      <b/>
      <sz val="11"/>
      <color rgb="FF000000"/>
      <name val="Times New Roman"/>
      <family val="1"/>
      <charset val="204"/>
    </font>
    <font>
      <b/>
      <i/>
      <sz val="11"/>
      <color indexed="8"/>
      <name val="Times New Roman"/>
      <family val="1"/>
      <charset val="204"/>
    </font>
    <font>
      <b/>
      <i/>
      <sz val="11"/>
      <name val="Times New Roman"/>
      <family val="1"/>
      <charset val="204"/>
    </font>
    <font>
      <b/>
      <i/>
      <sz val="12"/>
      <color indexed="8"/>
      <name val="Times New Roman"/>
      <family val="1"/>
      <charset val="204"/>
    </font>
    <font>
      <sz val="12"/>
      <color theme="1"/>
      <name val="Times New Roman"/>
      <family val="1"/>
      <charset val="204"/>
    </font>
    <font>
      <b/>
      <i/>
      <sz val="11"/>
      <color rgb="FF000000"/>
      <name val="Times New Roman"/>
      <family val="1"/>
      <charset val="204"/>
    </font>
    <font>
      <b/>
      <sz val="11"/>
      <color indexed="8"/>
      <name val="Times New Roman"/>
      <family val="1"/>
      <charset val="204"/>
    </font>
    <font>
      <sz val="9"/>
      <color indexed="81"/>
      <name val="Tahoma"/>
      <family val="2"/>
      <charset val="204"/>
    </font>
    <font>
      <b/>
      <sz val="9"/>
      <color indexed="81"/>
      <name val="Tahoma"/>
      <family val="2"/>
      <charset val="204"/>
    </font>
    <font>
      <b/>
      <sz val="12"/>
      <color rgb="FF000000"/>
      <name val="Times New Roman"/>
      <family val="1"/>
      <charset val="204"/>
    </font>
    <font>
      <sz val="10"/>
      <name val="Arial"/>
      <family val="2"/>
      <charset val="204"/>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77111117893"/>
        <bgColor indexed="64"/>
      </patternFill>
    </fill>
    <fill>
      <patternFill patternType="solid">
        <fgColor rgb="FF92D05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s>
  <cellStyleXfs count="5">
    <xf numFmtId="0" fontId="0" fillId="0" borderId="0"/>
    <xf numFmtId="0" fontId="8" fillId="0" borderId="0"/>
    <xf numFmtId="0" fontId="10" fillId="0" borderId="0"/>
    <xf numFmtId="164" fontId="12" fillId="0" borderId="0" applyFont="0" applyFill="0" applyBorder="0" applyAlignment="0" applyProtection="0"/>
    <xf numFmtId="0" fontId="27" fillId="0" borderId="0"/>
  </cellStyleXfs>
  <cellXfs count="335">
    <xf numFmtId="0" fontId="0" fillId="0" borderId="0" xfId="0"/>
    <xf numFmtId="49" fontId="2" fillId="0" borderId="1" xfId="0" applyNumberFormat="1" applyFont="1" applyFill="1" applyBorder="1" applyAlignment="1">
      <alignment horizontal="center" vertical="center" wrapText="1"/>
    </xf>
    <xf numFmtId="0" fontId="9" fillId="0" borderId="0" xfId="0" applyFont="1" applyFill="1" applyAlignment="1">
      <alignment horizontal="right"/>
    </xf>
    <xf numFmtId="0" fontId="6" fillId="0" borderId="0" xfId="2" applyFont="1" applyFill="1" applyAlignment="1">
      <alignment horizontal="right"/>
    </xf>
    <xf numFmtId="0" fontId="2" fillId="0" borderId="0" xfId="0" applyFont="1" applyFill="1" applyAlignment="1"/>
    <xf numFmtId="0" fontId="2" fillId="0" borderId="0" xfId="1" applyFont="1" applyFill="1" applyAlignment="1">
      <alignment horizontal="right"/>
    </xf>
    <xf numFmtId="0" fontId="2" fillId="0" borderId="0" xfId="0" applyFont="1" applyFill="1" applyAlignment="1">
      <alignment vertical="top"/>
    </xf>
    <xf numFmtId="0" fontId="2" fillId="0" borderId="0" xfId="0" applyFont="1" applyFill="1"/>
    <xf numFmtId="0" fontId="5" fillId="0" borderId="0" xfId="0" applyFont="1" applyFill="1" applyAlignment="1">
      <alignment horizontal="right"/>
    </xf>
    <xf numFmtId="0"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1" fillId="0" borderId="0" xfId="0" applyFont="1" applyFill="1" applyAlignment="1">
      <alignment horizontal="center" vertical="top" wrapText="1"/>
    </xf>
    <xf numFmtId="0" fontId="1" fillId="0" borderId="0" xfId="0" applyFont="1" applyFill="1" applyAlignment="1">
      <alignment horizontal="center" vertical="center" wrapText="1"/>
    </xf>
    <xf numFmtId="0" fontId="2" fillId="0" borderId="0" xfId="0" applyNumberFormat="1" applyFont="1" applyAlignment="1">
      <alignment horizontal="justify" vertical="center" wrapText="1"/>
    </xf>
    <xf numFmtId="0" fontId="1" fillId="0" borderId="0" xfId="0" applyNumberFormat="1" applyFont="1" applyFill="1" applyAlignment="1">
      <alignment horizontal="justify" vertical="center" wrapText="1"/>
    </xf>
    <xf numFmtId="0" fontId="2" fillId="0" borderId="0" xfId="0" applyNumberFormat="1" applyFont="1" applyFill="1" applyAlignment="1">
      <alignment horizontal="justify" vertical="center" wrapText="1"/>
    </xf>
    <xf numFmtId="0" fontId="2" fillId="0" borderId="1" xfId="0" applyNumberFormat="1" applyFont="1" applyBorder="1" applyAlignment="1">
      <alignment horizontal="justify" vertical="center" wrapText="1"/>
    </xf>
    <xf numFmtId="0" fontId="7" fillId="0" borderId="2" xfId="0" quotePrefix="1" applyNumberFormat="1" applyFont="1" applyBorder="1" applyAlignment="1">
      <alignment horizontal="justify" vertical="center" wrapText="1"/>
    </xf>
    <xf numFmtId="49" fontId="3" fillId="0" borderId="0" xfId="0" applyNumberFormat="1" applyFont="1" applyAlignment="1">
      <alignment vertical="top"/>
    </xf>
    <xf numFmtId="49" fontId="3" fillId="0" borderId="0" xfId="0" applyNumberFormat="1" applyFont="1"/>
    <xf numFmtId="0" fontId="3" fillId="0" borderId="0" xfId="0" applyFont="1"/>
    <xf numFmtId="0" fontId="3" fillId="0" borderId="0" xfId="0" applyFont="1" applyAlignment="1"/>
    <xf numFmtId="4" fontId="3" fillId="0" borderId="0" xfId="0" applyNumberFormat="1" applyFont="1"/>
    <xf numFmtId="0" fontId="11" fillId="0" borderId="0" xfId="0" applyFont="1"/>
    <xf numFmtId="0" fontId="3" fillId="0" borderId="0" xfId="0" applyFont="1" applyAlignment="1">
      <alignment horizontal="justify" vertical="center"/>
    </xf>
    <xf numFmtId="0" fontId="3" fillId="0" borderId="0" xfId="0" applyFont="1" applyAlignment="1">
      <alignment horizontal="center" vertical="center"/>
    </xf>
    <xf numFmtId="0" fontId="11" fillId="0" borderId="0" xfId="0" applyFont="1" applyAlignment="1">
      <alignment horizontal="left" vertical="center"/>
    </xf>
    <xf numFmtId="2" fontId="3" fillId="0" borderId="0" xfId="0" applyNumberFormat="1" applyFont="1" applyAlignment="1">
      <alignment horizontal="center" vertical="center"/>
    </xf>
    <xf numFmtId="0" fontId="3" fillId="0" borderId="0" xfId="0" applyFont="1" applyAlignment="1">
      <alignment horizontal="left" vertical="center"/>
    </xf>
    <xf numFmtId="0" fontId="9" fillId="0" borderId="0" xfId="0" applyFont="1" applyFill="1" applyAlignment="1">
      <alignment horizontal="center"/>
    </xf>
    <xf numFmtId="2" fontId="6" fillId="0" borderId="0" xfId="0" applyNumberFormat="1" applyFont="1" applyFill="1" applyAlignment="1">
      <alignment horizontal="center" vertical="center"/>
    </xf>
    <xf numFmtId="49" fontId="6" fillId="0" borderId="0" xfId="0" applyNumberFormat="1" applyFont="1" applyFill="1" applyAlignment="1">
      <alignment horizontal="center" vertical="top"/>
    </xf>
    <xf numFmtId="0" fontId="6" fillId="0" borderId="0" xfId="0" applyNumberFormat="1" applyFont="1" applyFill="1" applyAlignment="1">
      <alignment horizontal="justify" vertical="center"/>
    </xf>
    <xf numFmtId="49" fontId="6" fillId="0" borderId="0" xfId="0" applyNumberFormat="1" applyFont="1" applyFill="1" applyAlignment="1">
      <alignment horizontal="center" vertical="center"/>
    </xf>
    <xf numFmtId="0"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top" wrapText="1"/>
    </xf>
    <xf numFmtId="1" fontId="3" fillId="0" borderId="1" xfId="0" applyNumberFormat="1" applyFont="1" applyBorder="1" applyAlignment="1">
      <alignment horizontal="center" vertical="center"/>
    </xf>
    <xf numFmtId="164" fontId="3" fillId="0" borderId="1" xfId="3" applyFont="1" applyFill="1" applyBorder="1" applyAlignment="1">
      <alignment horizontal="center" vertical="center"/>
    </xf>
    <xf numFmtId="0" fontId="3" fillId="0" borderId="1" xfId="0" applyFont="1" applyBorder="1" applyAlignment="1">
      <alignment horizontal="justify" vertical="center"/>
    </xf>
    <xf numFmtId="0" fontId="6" fillId="0" borderId="1" xfId="0" applyFont="1" applyFill="1" applyBorder="1" applyAlignment="1">
      <alignment horizontal="justify" vertical="center"/>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2" fontId="6" fillId="0" borderId="1" xfId="0" applyNumberFormat="1" applyFont="1" applyFill="1" applyBorder="1" applyAlignment="1">
      <alignment horizontal="justify" vertical="center" wrapText="1"/>
    </xf>
    <xf numFmtId="165" fontId="6" fillId="2" borderId="0" xfId="0" applyNumberFormat="1" applyFont="1" applyFill="1" applyBorder="1" applyAlignment="1">
      <alignment horizontal="center" vertical="center"/>
    </xf>
    <xf numFmtId="164" fontId="6" fillId="0" borderId="1" xfId="3" applyFont="1" applyFill="1" applyBorder="1" applyAlignment="1">
      <alignment horizontal="center" vertical="center"/>
    </xf>
    <xf numFmtId="0" fontId="3" fillId="0" borderId="1" xfId="0" applyFont="1" applyFill="1" applyBorder="1" applyAlignment="1">
      <alignment horizontal="justify" vertical="center"/>
    </xf>
    <xf numFmtId="49" fontId="3" fillId="2" borderId="1" xfId="0" applyNumberFormat="1" applyFont="1" applyFill="1" applyBorder="1" applyAlignment="1">
      <alignment horizontal="center" vertical="center"/>
    </xf>
    <xf numFmtId="164" fontId="3" fillId="0" borderId="1" xfId="3" applyFont="1" applyBorder="1" applyAlignment="1">
      <alignment horizontal="center" vertical="center"/>
    </xf>
    <xf numFmtId="166" fontId="3" fillId="0" borderId="0" xfId="0" applyNumberFormat="1" applyFont="1"/>
    <xf numFmtId="0" fontId="11" fillId="0" borderId="1" xfId="0" applyFont="1" applyBorder="1" applyAlignment="1">
      <alignment horizontal="justify" vertical="center"/>
    </xf>
    <xf numFmtId="0" fontId="11" fillId="0" borderId="1" xfId="0" applyFont="1" applyBorder="1" applyAlignment="1">
      <alignment horizontal="center" vertical="center"/>
    </xf>
    <xf numFmtId="164" fontId="11" fillId="0" borderId="1" xfId="3" applyFont="1" applyBorder="1" applyAlignment="1">
      <alignment horizontal="center" vertical="center"/>
    </xf>
    <xf numFmtId="0" fontId="3" fillId="0" borderId="0" xfId="0" applyFont="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justify" vertical="center" wrapText="1"/>
    </xf>
    <xf numFmtId="0" fontId="3" fillId="0" borderId="0" xfId="0" applyFont="1" applyAlignment="1">
      <alignment horizontal="center"/>
    </xf>
    <xf numFmtId="165" fontId="6" fillId="0"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6" fillId="0" borderId="1" xfId="0" applyFont="1" applyFill="1" applyBorder="1" applyAlignment="1">
      <alignment horizontal="justify" vertical="center" wrapText="1"/>
    </xf>
    <xf numFmtId="0" fontId="14" fillId="0" borderId="1" xfId="0" applyFont="1" applyFill="1" applyBorder="1" applyAlignment="1">
      <alignment horizontal="justify" vertical="center" wrapText="1"/>
    </xf>
    <xf numFmtId="164" fontId="16" fillId="0" borderId="1" xfId="3"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0" fontId="3" fillId="0" borderId="0" xfId="0" applyFont="1" applyBorder="1" applyAlignment="1">
      <alignment horizontal="center"/>
    </xf>
    <xf numFmtId="0" fontId="3" fillId="0" borderId="0" xfId="0" applyFont="1" applyBorder="1" applyAlignment="1">
      <alignment horizontal="justify" vertical="center"/>
    </xf>
    <xf numFmtId="2" fontId="3" fillId="0" borderId="0" xfId="0" applyNumberFormat="1" applyFont="1" applyBorder="1" applyAlignment="1">
      <alignment horizontal="center" vertical="center"/>
    </xf>
    <xf numFmtId="0" fontId="18" fillId="0" borderId="1" xfId="0" applyFont="1" applyFill="1" applyBorder="1" applyAlignment="1">
      <alignment horizontal="justify" vertical="center" wrapText="1"/>
    </xf>
    <xf numFmtId="0" fontId="19" fillId="0" borderId="1" xfId="0" applyFont="1" applyFill="1" applyBorder="1" applyAlignment="1">
      <alignment horizontal="justify" vertical="center" wrapText="1"/>
    </xf>
    <xf numFmtId="0" fontId="11" fillId="3" borderId="1" xfId="0" applyFont="1" applyFill="1" applyBorder="1" applyAlignment="1">
      <alignment horizontal="center" vertical="center"/>
    </xf>
    <xf numFmtId="164" fontId="11" fillId="3" borderId="1" xfId="3" applyFont="1" applyFill="1" applyBorder="1" applyAlignment="1">
      <alignment horizontal="center" vertical="center"/>
    </xf>
    <xf numFmtId="0" fontId="3" fillId="3" borderId="1" xfId="0" applyFont="1" applyFill="1" applyBorder="1" applyAlignment="1">
      <alignment horizontal="center" vertical="center"/>
    </xf>
    <xf numFmtId="49" fontId="11" fillId="3" borderId="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0" fontId="17" fillId="3" borderId="1" xfId="0" applyFont="1" applyFill="1" applyBorder="1" applyAlignment="1">
      <alignment wrapText="1"/>
    </xf>
    <xf numFmtId="0" fontId="17" fillId="3" borderId="1" xfId="0" applyFont="1" applyFill="1" applyBorder="1" applyAlignment="1">
      <alignment vertical="center"/>
    </xf>
    <xf numFmtId="0" fontId="17" fillId="3" borderId="1" xfId="0" applyFont="1" applyFill="1" applyBorder="1" applyAlignment="1">
      <alignment vertical="center" wrapText="1"/>
    </xf>
    <xf numFmtId="164" fontId="3" fillId="3" borderId="1" xfId="3" applyFont="1" applyFill="1" applyBorder="1" applyAlignment="1">
      <alignment horizontal="center" vertical="center"/>
    </xf>
    <xf numFmtId="0" fontId="4" fillId="0" borderId="1" xfId="0" applyFont="1" applyBorder="1"/>
    <xf numFmtId="0" fontId="20" fillId="0" borderId="1" xfId="0" applyFont="1" applyFill="1" applyBorder="1" applyAlignment="1">
      <alignment horizontal="justify" vertical="center" wrapText="1"/>
    </xf>
    <xf numFmtId="0" fontId="11"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164" fontId="15" fillId="0" borderId="1" xfId="3" applyFont="1" applyFill="1" applyBorder="1" applyAlignment="1">
      <alignment horizontal="center" vertical="center"/>
    </xf>
    <xf numFmtId="164" fontId="11" fillId="0" borderId="1" xfId="3" applyFont="1" applyFill="1" applyBorder="1" applyAlignment="1">
      <alignment horizontal="center" vertical="center"/>
    </xf>
    <xf numFmtId="0" fontId="3" fillId="0" borderId="1" xfId="0" applyFont="1" applyBorder="1" applyAlignment="1">
      <alignment horizontal="center" vertical="center"/>
    </xf>
    <xf numFmtId="0" fontId="21" fillId="0" borderId="1" xfId="0" applyFont="1" applyFill="1" applyBorder="1" applyAlignment="1">
      <alignment horizontal="center" vertical="center"/>
    </xf>
    <xf numFmtId="49" fontId="21" fillId="0" borderId="1" xfId="0" applyNumberFormat="1" applyFont="1" applyFill="1" applyBorder="1" applyAlignment="1">
      <alignment horizontal="center" vertical="center"/>
    </xf>
    <xf numFmtId="0" fontId="3" fillId="0" borderId="1" xfId="0" applyFont="1" applyBorder="1" applyAlignment="1">
      <alignment horizontal="center" vertical="center"/>
    </xf>
    <xf numFmtId="0" fontId="14" fillId="0" borderId="1" xfId="0"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0" fontId="3" fillId="0" borderId="1" xfId="0" applyFont="1" applyBorder="1" applyAlignment="1">
      <alignment horizontal="center" vertical="center"/>
    </xf>
    <xf numFmtId="0" fontId="14" fillId="0"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3" fillId="0" borderId="1" xfId="0" applyFont="1" applyBorder="1" applyAlignment="1">
      <alignment horizontal="justify" vertical="center" wrapText="1"/>
    </xf>
    <xf numFmtId="0" fontId="4"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0" fontId="3" fillId="0" borderId="0" xfId="0" applyFont="1" applyFill="1"/>
    <xf numFmtId="0" fontId="3" fillId="0" borderId="1" xfId="0" applyFont="1" applyBorder="1" applyAlignment="1">
      <alignment horizontal="justify" vertical="center" wrapText="1"/>
    </xf>
    <xf numFmtId="0" fontId="3" fillId="0" borderId="1" xfId="0" applyFont="1" applyBorder="1" applyAlignment="1">
      <alignment horizontal="center" vertical="center"/>
    </xf>
    <xf numFmtId="0" fontId="4"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0" fontId="22" fillId="0" borderId="1" xfId="0" applyNumberFormat="1"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16" fillId="0" borderId="1" xfId="0" applyFont="1" applyFill="1" applyBorder="1" applyAlignment="1">
      <alignment horizontal="center" vertical="center"/>
    </xf>
    <xf numFmtId="0" fontId="3" fillId="0" borderId="1" xfId="0" applyFont="1" applyBorder="1" applyAlignment="1">
      <alignment horizontal="center" vertical="center"/>
    </xf>
    <xf numFmtId="0" fontId="6" fillId="0" borderId="1" xfId="0" applyFont="1" applyFill="1" applyBorder="1" applyAlignment="1">
      <alignment horizontal="justify"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xf>
    <xf numFmtId="164" fontId="3" fillId="0" borderId="0" xfId="3" applyFont="1" applyFill="1"/>
    <xf numFmtId="0" fontId="3" fillId="0" borderId="1" xfId="0" applyFont="1" applyBorder="1" applyAlignment="1">
      <alignment horizontal="center" vertical="center"/>
    </xf>
    <xf numFmtId="0" fontId="14" fillId="0" borderId="1" xfId="0" applyFont="1" applyFill="1" applyBorder="1" applyAlignment="1">
      <alignment horizontal="justify" vertical="center" wrapText="1"/>
    </xf>
    <xf numFmtId="0" fontId="9" fillId="0" borderId="0" xfId="0" applyFont="1" applyFill="1" applyAlignment="1">
      <alignment horizontal="center"/>
    </xf>
    <xf numFmtId="0" fontId="3" fillId="0" borderId="1" xfId="0" applyFont="1" applyBorder="1" applyAlignment="1">
      <alignment horizontal="center" vertical="center"/>
    </xf>
    <xf numFmtId="0" fontId="14" fillId="0" borderId="1" xfId="0" applyFont="1" applyFill="1" applyBorder="1" applyAlignment="1">
      <alignment horizontal="justify" vertical="center" wrapText="1"/>
    </xf>
    <xf numFmtId="0" fontId="3" fillId="3" borderId="1" xfId="0" applyFont="1" applyFill="1" applyBorder="1" applyAlignment="1">
      <alignment horizontal="justify" vertical="center" wrapText="1"/>
    </xf>
    <xf numFmtId="0" fontId="4" fillId="0" borderId="1" xfId="0" applyFont="1" applyFill="1" applyBorder="1"/>
    <xf numFmtId="49" fontId="1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shrinkToFit="1"/>
    </xf>
    <xf numFmtId="0" fontId="4" fillId="0" borderId="1" xfId="0" applyFont="1" applyFill="1" applyBorder="1" applyAlignment="1">
      <alignment wrapText="1"/>
    </xf>
    <xf numFmtId="0" fontId="3" fillId="0" borderId="1" xfId="0" applyFont="1" applyFill="1" applyBorder="1" applyAlignment="1">
      <alignment wrapText="1"/>
    </xf>
    <xf numFmtId="0" fontId="3" fillId="0" borderId="1" xfId="0" applyFont="1" applyFill="1" applyBorder="1" applyAlignment="1">
      <alignment horizontal="justify" vertical="center" wrapText="1"/>
    </xf>
    <xf numFmtId="0" fontId="3" fillId="0" borderId="1" xfId="0" applyNumberFormat="1" applyFont="1" applyFill="1" applyBorder="1" applyAlignment="1">
      <alignment horizontal="justify"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6" fillId="0" borderId="1" xfId="0" applyNumberFormat="1" applyFont="1" applyFill="1" applyBorder="1" applyAlignment="1">
      <alignment horizontal="justify" vertical="center" wrapText="1"/>
    </xf>
    <xf numFmtId="49" fontId="6" fillId="0" borderId="1" xfId="0" applyNumberFormat="1" applyFont="1" applyFill="1" applyBorder="1" applyAlignment="1">
      <alignment horizontal="justify" vertical="center" wrapText="1"/>
    </xf>
    <xf numFmtId="0" fontId="5" fillId="0" borderId="1" xfId="0" applyFont="1" applyFill="1" applyBorder="1" applyAlignment="1">
      <alignment horizontal="justify" vertical="center" wrapText="1"/>
    </xf>
    <xf numFmtId="0" fontId="7" fillId="0" borderId="1" xfId="0" quotePrefix="1" applyNumberFormat="1" applyFont="1" applyFill="1" applyBorder="1" applyAlignment="1">
      <alignment horizontal="justify" vertical="center" wrapText="1"/>
    </xf>
    <xf numFmtId="0" fontId="7" fillId="0" borderId="1" xfId="0" applyNumberFormat="1" applyFont="1" applyFill="1" applyBorder="1" applyAlignment="1">
      <alignment horizontal="justify" vertical="center" wrapText="1"/>
    </xf>
    <xf numFmtId="0" fontId="4" fillId="0" borderId="2" xfId="0" quotePrefix="1" applyNumberFormat="1" applyFont="1" applyFill="1" applyBorder="1" applyAlignment="1">
      <alignment horizontal="left" vertical="top" wrapText="1"/>
    </xf>
    <xf numFmtId="0" fontId="3" fillId="0" borderId="0" xfId="0" applyFont="1" applyFill="1" applyAlignment="1">
      <alignment wrapText="1"/>
    </xf>
    <xf numFmtId="164" fontId="3" fillId="0" borderId="0" xfId="3" applyFont="1" applyFill="1" applyBorder="1" applyAlignment="1">
      <alignment horizontal="center" vertical="center"/>
    </xf>
    <xf numFmtId="0" fontId="3" fillId="0" borderId="1" xfId="0" applyFont="1" applyBorder="1" applyAlignment="1">
      <alignment horizontal="center" vertical="center"/>
    </xf>
    <xf numFmtId="0" fontId="14" fillId="0" borderId="1" xfId="0" applyFont="1" applyFill="1" applyBorder="1" applyAlignment="1">
      <alignment horizontal="justify" vertical="center" wrapText="1"/>
    </xf>
    <xf numFmtId="0" fontId="4" fillId="0" borderId="1" xfId="0" applyFont="1" applyBorder="1" applyAlignment="1">
      <alignment wrapText="1"/>
    </xf>
    <xf numFmtId="0" fontId="3" fillId="0" borderId="1" xfId="0" applyNumberFormat="1" applyFont="1" applyFill="1" applyBorder="1" applyAlignment="1">
      <alignment horizontal="center" vertical="center"/>
    </xf>
    <xf numFmtId="164" fontId="16"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49" fontId="15" fillId="0" borderId="1" xfId="0" applyNumberFormat="1" applyFont="1" applyFill="1" applyBorder="1" applyAlignment="1">
      <alignment horizontal="center" vertical="center"/>
    </xf>
    <xf numFmtId="0" fontId="11" fillId="0" borderId="1" xfId="0" applyFont="1" applyFill="1" applyBorder="1" applyAlignment="1">
      <alignment horizontal="justify" vertical="center" wrapText="1"/>
    </xf>
    <xf numFmtId="0" fontId="16" fillId="0" borderId="1" xfId="0" applyFont="1" applyFill="1" applyBorder="1" applyAlignment="1">
      <alignment horizontal="justify" vertical="center" wrapText="1"/>
    </xf>
    <xf numFmtId="0" fontId="13" fillId="0" borderId="1" xfId="0" applyNumberFormat="1" applyFont="1" applyFill="1" applyBorder="1" applyAlignment="1">
      <alignment horizontal="justify" vertical="center" wrapText="1"/>
    </xf>
    <xf numFmtId="49" fontId="19" fillId="0" borderId="1" xfId="0" applyNumberFormat="1" applyFont="1" applyFill="1" applyBorder="1" applyAlignment="1">
      <alignment horizontal="justify" vertical="center" wrapText="1"/>
    </xf>
    <xf numFmtId="0" fontId="16" fillId="0" borderId="1" xfId="0" applyFont="1" applyFill="1" applyBorder="1" applyAlignment="1">
      <alignment horizontal="justify" vertical="center"/>
    </xf>
    <xf numFmtId="0" fontId="11" fillId="0" borderId="1" xfId="0" applyFont="1" applyFill="1" applyBorder="1" applyAlignment="1">
      <alignment horizontal="justify" vertical="center"/>
    </xf>
    <xf numFmtId="164" fontId="11" fillId="0" borderId="1" xfId="0" applyNumberFormat="1" applyFont="1" applyFill="1" applyBorder="1" applyAlignment="1">
      <alignment horizontal="center" vertical="center"/>
    </xf>
    <xf numFmtId="0" fontId="17" fillId="0" borderId="1" xfId="0" applyFont="1" applyFill="1" applyBorder="1" applyAlignment="1">
      <alignment horizontal="justify" vertical="center" wrapText="1"/>
    </xf>
    <xf numFmtId="0" fontId="3" fillId="0" borderId="0" xfId="0" applyFont="1" applyFill="1" applyBorder="1" applyAlignment="1">
      <alignment horizontal="center"/>
    </xf>
    <xf numFmtId="0" fontId="3" fillId="0" borderId="0" xfId="0" applyFont="1" applyFill="1" applyBorder="1" applyAlignment="1">
      <alignment horizontal="justify" vertical="center"/>
    </xf>
    <xf numFmtId="0" fontId="3" fillId="0" borderId="0" xfId="0" applyFont="1" applyFill="1" applyBorder="1" applyAlignment="1">
      <alignment horizontal="center" vertical="center"/>
    </xf>
    <xf numFmtId="0" fontId="6" fillId="0" borderId="1" xfId="0" applyFont="1" applyFill="1" applyBorder="1" applyAlignment="1">
      <alignment horizontal="justify" vertical="center" wrapText="1"/>
    </xf>
    <xf numFmtId="0" fontId="23" fillId="0" borderId="1" xfId="0" applyFont="1" applyFill="1" applyBorder="1" applyAlignment="1">
      <alignment horizontal="justify"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quotePrefix="1" applyNumberFormat="1"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0" fontId="3" fillId="0" borderId="1" xfId="0" applyFont="1" applyFill="1" applyBorder="1" applyAlignment="1">
      <alignment horizontal="center" vertical="center"/>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quotePrefix="1" applyNumberFormat="1"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0" fontId="6" fillId="0" borderId="1" xfId="0" applyFont="1" applyFill="1" applyBorder="1" applyAlignment="1">
      <alignment horizontal="justify" vertical="center" wrapText="1"/>
    </xf>
    <xf numFmtId="0" fontId="3" fillId="0" borderId="1" xfId="0" applyFont="1" applyFill="1" applyBorder="1" applyAlignment="1">
      <alignment horizontal="center" vertical="center"/>
    </xf>
    <xf numFmtId="0" fontId="14" fillId="0" borderId="1" xfId="0" applyFont="1" applyFill="1" applyBorder="1" applyAlignment="1">
      <alignment horizontal="justify" vertical="center"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0" fontId="7" fillId="0" borderId="1" xfId="0" applyNumberFormat="1" applyFont="1" applyFill="1" applyBorder="1" applyAlignment="1">
      <alignment horizontal="justify" vertical="center" wrapText="1"/>
    </xf>
    <xf numFmtId="49" fontId="3" fillId="0" borderId="1" xfId="0" applyNumberFormat="1" applyFont="1" applyFill="1" applyBorder="1" applyAlignment="1">
      <alignment horizontal="center" vertical="center"/>
    </xf>
    <xf numFmtId="0" fontId="18" fillId="0" borderId="1" xfId="0" applyFont="1" applyFill="1" applyBorder="1" applyAlignment="1">
      <alignment horizontal="justify" vertical="center" wrapText="1"/>
    </xf>
    <xf numFmtId="0" fontId="15" fillId="0" borderId="1" xfId="0" applyFont="1" applyFill="1" applyBorder="1" applyAlignment="1">
      <alignment horizontal="center" vertical="center"/>
    </xf>
    <xf numFmtId="49" fontId="15"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quotePrefix="1" applyNumberFormat="1" applyFont="1" applyFill="1" applyBorder="1" applyAlignment="1">
      <alignment horizontal="justify"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3" fillId="0" borderId="1" xfId="0"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164" fontId="16"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0" fontId="14" fillId="0"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164" fontId="6" fillId="0" borderId="0" xfId="3" applyFont="1" applyFill="1" applyBorder="1" applyAlignment="1">
      <alignment horizontal="center" vertical="center"/>
    </xf>
    <xf numFmtId="164" fontId="3" fillId="4" borderId="0" xfId="3" applyFont="1" applyFill="1"/>
    <xf numFmtId="164" fontId="3" fillId="4" borderId="1" xfId="3" applyFont="1" applyFill="1" applyBorder="1" applyAlignment="1">
      <alignment horizontal="center" vertical="center"/>
    </xf>
    <xf numFmtId="0" fontId="3" fillId="0" borderId="1" xfId="0" applyFont="1" applyFill="1" applyBorder="1" applyAlignment="1">
      <alignment horizontal="center" vertical="center"/>
    </xf>
    <xf numFmtId="0" fontId="15" fillId="0" borderId="1" xfId="0" applyFont="1" applyFill="1" applyBorder="1" applyAlignment="1">
      <alignment horizontal="center" vertical="center"/>
    </xf>
    <xf numFmtId="49" fontId="15" fillId="0" borderId="1" xfId="0" applyNumberFormat="1" applyFont="1" applyFill="1" applyBorder="1" applyAlignment="1">
      <alignment horizontal="center" vertical="center"/>
    </xf>
    <xf numFmtId="0" fontId="14" fillId="0" borderId="1" xfId="0" applyFont="1" applyFill="1" applyBorder="1" applyAlignment="1">
      <alignment horizontal="justify" vertical="center"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18" fillId="0" borderId="1" xfId="0"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0" fontId="16" fillId="0" borderId="1" xfId="0" applyFont="1" applyFill="1" applyBorder="1" applyAlignment="1">
      <alignment horizontal="center" vertical="center"/>
    </xf>
    <xf numFmtId="0" fontId="4" fillId="0" borderId="1" xfId="0" quotePrefix="1" applyNumberFormat="1" applyFont="1" applyFill="1" applyBorder="1" applyAlignment="1">
      <alignment horizontal="justify" vertical="center" wrapText="1"/>
    </xf>
    <xf numFmtId="164" fontId="3" fillId="5" borderId="0" xfId="3" applyFont="1" applyFill="1"/>
    <xf numFmtId="164" fontId="3" fillId="5" borderId="1" xfId="3" applyFont="1" applyFill="1" applyBorder="1" applyAlignment="1">
      <alignment horizontal="center" vertical="center"/>
    </xf>
    <xf numFmtId="0" fontId="3" fillId="0" borderId="1" xfId="0" applyFont="1" applyBorder="1"/>
    <xf numFmtId="164" fontId="3" fillId="0" borderId="1" xfId="0" applyNumberFormat="1" applyFont="1" applyBorder="1"/>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0" fontId="6" fillId="0" borderId="1" xfId="0" applyFont="1" applyFill="1" applyBorder="1" applyAlignment="1">
      <alignment horizontal="justify" vertical="center" wrapText="1"/>
    </xf>
    <xf numFmtId="0" fontId="14" fillId="0" borderId="1" xfId="0" applyFont="1" applyFill="1" applyBorder="1" applyAlignment="1">
      <alignment horizontal="justify" vertical="center" wrapText="1"/>
    </xf>
    <xf numFmtId="49" fontId="15" fillId="0" borderId="1" xfId="0" applyNumberFormat="1" applyFont="1" applyFill="1" applyBorder="1" applyAlignment="1">
      <alignment horizontal="center" vertical="center"/>
    </xf>
    <xf numFmtId="0" fontId="14" fillId="0" borderId="1" xfId="0" applyFont="1" applyFill="1" applyBorder="1" applyAlignment="1">
      <alignment horizontal="justify" vertical="center" wrapText="1"/>
    </xf>
    <xf numFmtId="49" fontId="3" fillId="0" borderId="1" xfId="0" applyNumberFormat="1"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xf numFmtId="167" fontId="6" fillId="0" borderId="7" xfId="4" applyNumberFormat="1" applyFont="1" applyBorder="1" applyAlignment="1" applyProtection="1">
      <alignment horizontal="left" vertical="center" wrapText="1"/>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15" fillId="0" borderId="5" xfId="0" applyFont="1" applyFill="1" applyBorder="1" applyAlignment="1">
      <alignment horizontal="center" vertical="center"/>
    </xf>
    <xf numFmtId="0" fontId="4" fillId="0" borderId="1" xfId="0" quotePrefix="1" applyNumberFormat="1" applyFont="1" applyFill="1" applyBorder="1" applyAlignment="1">
      <alignment horizontal="justify" vertical="center" wrapText="1"/>
    </xf>
    <xf numFmtId="0" fontId="14" fillId="0" borderId="1" xfId="0" applyFont="1" applyFill="1" applyBorder="1" applyAlignment="1">
      <alignment horizontal="justify" vertical="center" wrapText="1"/>
    </xf>
    <xf numFmtId="0" fontId="15" fillId="0" borderId="1" xfId="0" applyFont="1" applyFill="1" applyBorder="1" applyAlignment="1">
      <alignment horizontal="center" vertical="center"/>
    </xf>
    <xf numFmtId="0" fontId="3" fillId="0" borderId="1" xfId="0" applyNumberFormat="1" applyFont="1" applyFill="1" applyBorder="1" applyAlignment="1">
      <alignment horizontal="center" vertical="center"/>
    </xf>
    <xf numFmtId="164" fontId="15" fillId="0" borderId="5" xfId="3" applyFont="1" applyFill="1" applyBorder="1" applyAlignment="1">
      <alignment horizontal="center" vertical="center"/>
    </xf>
    <xf numFmtId="49" fontId="15" fillId="0" borderId="1" xfId="0" applyNumberFormat="1" applyFont="1" applyFill="1" applyBorder="1" applyAlignment="1">
      <alignment horizontal="center" vertical="center"/>
    </xf>
    <xf numFmtId="164" fontId="3" fillId="6" borderId="0" xfId="3" applyFont="1" applyFill="1"/>
    <xf numFmtId="0" fontId="3" fillId="6" borderId="0" xfId="0" applyFont="1" applyFill="1"/>
    <xf numFmtId="0" fontId="4" fillId="0" borderId="1" xfId="0" quotePrefix="1" applyNumberFormat="1" applyFont="1" applyFill="1" applyBorder="1" applyAlignment="1">
      <alignment horizontal="justify"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15" fillId="0" borderId="5" xfId="0" applyFont="1" applyFill="1" applyBorder="1" applyAlignment="1">
      <alignment horizontal="center" vertical="center"/>
    </xf>
    <xf numFmtId="0" fontId="4" fillId="0" borderId="1" xfId="0" quotePrefix="1" applyNumberFormat="1"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164" fontId="3" fillId="5" borderId="0" xfId="3" applyFont="1" applyFill="1" applyBorder="1" applyAlignment="1">
      <alignment horizontal="center" vertical="center"/>
    </xf>
    <xf numFmtId="0" fontId="7" fillId="0" borderId="1" xfId="0" applyNumberFormat="1" applyFont="1" applyFill="1" applyBorder="1" applyAlignment="1">
      <alignment horizontal="justify" vertical="center" wrapText="1"/>
    </xf>
    <xf numFmtId="43" fontId="3" fillId="0" borderId="0" xfId="0" applyNumberFormat="1" applyFont="1"/>
    <xf numFmtId="0" fontId="3" fillId="0" borderId="1" xfId="0"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14" fillId="0" borderId="1" xfId="0" applyFont="1" applyFill="1" applyBorder="1" applyAlignment="1">
      <alignment horizontal="justify" vertical="center" wrapText="1"/>
    </xf>
    <xf numFmtId="49" fontId="2" fillId="0" borderId="1" xfId="0" applyNumberFormat="1" applyFont="1" applyBorder="1" applyAlignment="1">
      <alignment horizontal="center" vertical="top"/>
    </xf>
    <xf numFmtId="49" fontId="2" fillId="0" borderId="1" xfId="0" applyNumberFormat="1" applyFont="1" applyBorder="1" applyAlignment="1">
      <alignment horizontal="center"/>
    </xf>
    <xf numFmtId="0" fontId="7" fillId="0" borderId="1" xfId="0" applyNumberFormat="1" applyFont="1" applyBorder="1" applyAlignment="1">
      <alignment horizontal="center" vertical="center"/>
    </xf>
    <xf numFmtId="0" fontId="13" fillId="0" borderId="1" xfId="0" quotePrefix="1" applyNumberFormat="1" applyFont="1" applyBorder="1" applyAlignment="1">
      <alignment horizontal="justify" vertical="center" wrapText="1"/>
    </xf>
    <xf numFmtId="0" fontId="13" fillId="0" borderId="1" xfId="0" quotePrefix="1" applyNumberFormat="1" applyFont="1" applyBorder="1" applyAlignment="1">
      <alignment horizontal="center" vertical="center" wrapText="1"/>
    </xf>
    <xf numFmtId="4" fontId="13" fillId="0" borderId="1" xfId="0" applyNumberFormat="1" applyFont="1" applyBorder="1" applyAlignment="1">
      <alignment horizontal="right" vertical="center" wrapText="1"/>
    </xf>
    <xf numFmtId="0" fontId="7" fillId="0" borderId="1" xfId="0" quotePrefix="1" applyNumberFormat="1" applyFont="1" applyBorder="1" applyAlignment="1">
      <alignment horizontal="justify" vertical="center" wrapText="1"/>
    </xf>
    <xf numFmtId="0" fontId="7" fillId="0" borderId="1" xfId="0" quotePrefix="1" applyNumberFormat="1" applyFont="1" applyBorder="1" applyAlignment="1">
      <alignment horizontal="center" wrapText="1"/>
    </xf>
    <xf numFmtId="4" fontId="7" fillId="0" borderId="1" xfId="0" applyNumberFormat="1" applyFont="1" applyFill="1" applyBorder="1" applyAlignment="1">
      <alignment horizontal="right" wrapText="1"/>
    </xf>
    <xf numFmtId="0" fontId="7" fillId="0" borderId="1" xfId="0" applyNumberFormat="1" applyFont="1" applyBorder="1" applyAlignment="1">
      <alignment horizontal="justify" vertical="center" wrapText="1"/>
    </xf>
    <xf numFmtId="49" fontId="7" fillId="0" borderId="1" xfId="0" applyNumberFormat="1" applyFont="1" applyBorder="1" applyAlignment="1">
      <alignment horizontal="center" wrapText="1"/>
    </xf>
    <xf numFmtId="4" fontId="13" fillId="0" borderId="1" xfId="0" applyNumberFormat="1" applyFont="1" applyFill="1" applyBorder="1" applyAlignment="1">
      <alignment horizontal="right" vertical="center" wrapText="1"/>
    </xf>
    <xf numFmtId="0" fontId="13" fillId="0" borderId="1" xfId="0" quotePrefix="1" applyNumberFormat="1" applyFont="1" applyBorder="1" applyAlignment="1">
      <alignment horizontal="left" vertical="center" wrapText="1"/>
    </xf>
    <xf numFmtId="4"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right" vertical="center" wrapText="1"/>
    </xf>
    <xf numFmtId="49" fontId="26" fillId="0" borderId="1" xfId="0" applyNumberFormat="1" applyFont="1" applyBorder="1" applyAlignment="1">
      <alignment horizontal="center" wrapText="1"/>
    </xf>
    <xf numFmtId="4" fontId="26" fillId="0" borderId="1" xfId="0" applyNumberFormat="1" applyFont="1" applyFill="1" applyBorder="1" applyAlignment="1">
      <alignment horizontal="right" wrapText="1"/>
    </xf>
    <xf numFmtId="4" fontId="7" fillId="0" borderId="1" xfId="0" applyNumberFormat="1" applyFont="1" applyBorder="1" applyAlignment="1">
      <alignment horizontal="right" wrapText="1"/>
    </xf>
    <xf numFmtId="0" fontId="13" fillId="0" borderId="1" xfId="0" applyNumberFormat="1" applyFont="1" applyBorder="1" applyAlignment="1">
      <alignment horizontal="justify" vertical="center" wrapText="1"/>
    </xf>
    <xf numFmtId="0" fontId="13" fillId="0" borderId="1" xfId="0" quotePrefix="1" applyNumberFormat="1" applyFont="1" applyBorder="1" applyAlignment="1">
      <alignment horizontal="center" wrapText="1"/>
    </xf>
    <xf numFmtId="4" fontId="13" fillId="0" borderId="1" xfId="0" applyNumberFormat="1" applyFont="1" applyBorder="1" applyAlignment="1">
      <alignment horizontal="right" wrapText="1"/>
    </xf>
    <xf numFmtId="0" fontId="4" fillId="0" borderId="1" xfId="0" quotePrefix="1" applyNumberFormat="1" applyFont="1" applyFill="1" applyBorder="1" applyAlignment="1">
      <alignment horizontal="justify" vertical="center" wrapText="1"/>
    </xf>
    <xf numFmtId="0" fontId="3" fillId="0" borderId="5" xfId="0" applyFont="1" applyFill="1" applyBorder="1" applyAlignment="1">
      <alignment horizontal="center" vertical="center"/>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1" xfId="0" quotePrefix="1" applyNumberFormat="1"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0" fontId="3" fillId="0" borderId="1" xfId="0" applyNumberFormat="1" applyFont="1" applyFill="1" applyBorder="1" applyAlignment="1">
      <alignment horizontal="center" vertical="center"/>
    </xf>
    <xf numFmtId="0" fontId="1" fillId="0" borderId="0" xfId="0" applyFont="1" applyFill="1" applyAlignment="1">
      <alignment horizontal="center" vertical="center" wrapText="1"/>
    </xf>
    <xf numFmtId="0" fontId="13" fillId="0" borderId="1" xfId="0" quotePrefix="1" applyNumberFormat="1" applyFont="1" applyBorder="1" applyAlignment="1">
      <alignment horizontal="left" vertical="center" wrapText="1"/>
    </xf>
    <xf numFmtId="0" fontId="9" fillId="0" borderId="0" xfId="0" applyFont="1" applyFill="1" applyAlignment="1">
      <alignment horizontal="center"/>
    </xf>
    <xf numFmtId="0" fontId="4" fillId="0" borderId="3" xfId="0" applyNumberFormat="1" applyFont="1" applyFill="1" applyBorder="1" applyAlignment="1">
      <alignment horizontal="left" vertical="center" wrapText="1"/>
    </xf>
    <xf numFmtId="0" fontId="4" fillId="0" borderId="6"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3" fillId="0" borderId="3" xfId="0" applyNumberFormat="1" applyFont="1" applyFill="1" applyBorder="1" applyAlignment="1">
      <alignment horizontal="center" vertical="center"/>
    </xf>
    <xf numFmtId="0" fontId="3" fillId="0" borderId="6" xfId="0" applyNumberFormat="1" applyFont="1" applyFill="1" applyBorder="1" applyAlignment="1">
      <alignment horizontal="center" vertical="center"/>
    </xf>
    <xf numFmtId="0" fontId="3" fillId="0" borderId="5"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0" fontId="14" fillId="0" borderId="3" xfId="0" applyFont="1" applyFill="1" applyBorder="1" applyAlignment="1">
      <alignment horizontal="justify" vertical="center" wrapText="1"/>
    </xf>
    <xf numFmtId="0" fontId="14" fillId="0" borderId="6" xfId="0" applyFont="1" applyFill="1" applyBorder="1" applyAlignment="1">
      <alignment horizontal="justify" vertical="center" wrapText="1"/>
    </xf>
    <xf numFmtId="0" fontId="14" fillId="0" borderId="5" xfId="0" applyFont="1" applyFill="1" applyBorder="1" applyAlignment="1">
      <alignment horizontal="justify" vertical="center" wrapText="1"/>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0" fontId="4" fillId="0" borderId="3" xfId="0" applyNumberFormat="1" applyFont="1" applyFill="1" applyBorder="1" applyAlignment="1">
      <alignment horizontal="justify" vertical="center" wrapText="1"/>
    </xf>
    <xf numFmtId="0" fontId="4" fillId="0" borderId="5" xfId="0" applyNumberFormat="1" applyFont="1" applyFill="1" applyBorder="1" applyAlignment="1">
      <alignment horizontal="justify" vertical="center" wrapText="1"/>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3" fillId="0" borderId="3"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4" fillId="0" borderId="3" xfId="0" quotePrefix="1" applyNumberFormat="1" applyFont="1" applyFill="1" applyBorder="1" applyAlignment="1">
      <alignment horizontal="justify" vertical="center" wrapText="1"/>
    </xf>
    <xf numFmtId="0" fontId="4" fillId="0" borderId="5" xfId="0" quotePrefix="1" applyNumberFormat="1" applyFont="1" applyFill="1" applyBorder="1" applyAlignment="1">
      <alignment horizontal="justify" vertical="center" wrapText="1"/>
    </xf>
    <xf numFmtId="49" fontId="3" fillId="0" borderId="1" xfId="0" applyNumberFormat="1" applyFont="1" applyFill="1" applyBorder="1" applyAlignment="1">
      <alignment horizontal="center" vertical="center"/>
    </xf>
    <xf numFmtId="164" fontId="15" fillId="0" borderId="3" xfId="3" applyFont="1" applyFill="1" applyBorder="1" applyAlignment="1">
      <alignment horizontal="center" vertical="center"/>
    </xf>
    <xf numFmtId="164" fontId="15" fillId="0" borderId="5" xfId="3" applyFont="1" applyFill="1" applyBorder="1" applyAlignment="1">
      <alignment horizontal="center" vertical="center"/>
    </xf>
    <xf numFmtId="0" fontId="15" fillId="0" borderId="1" xfId="0" applyFont="1" applyFill="1" applyBorder="1" applyAlignment="1">
      <alignment horizontal="center" vertical="center"/>
    </xf>
    <xf numFmtId="49" fontId="15" fillId="0" borderId="1" xfId="0" applyNumberFormat="1" applyFont="1" applyFill="1" applyBorder="1" applyAlignment="1">
      <alignment horizontal="center" vertical="center"/>
    </xf>
    <xf numFmtId="0" fontId="6" fillId="0" borderId="1" xfId="0" applyFont="1" applyFill="1" applyBorder="1" applyAlignment="1">
      <alignment horizontal="justify" vertical="center" wrapText="1"/>
    </xf>
    <xf numFmtId="0" fontId="3" fillId="0" borderId="1" xfId="0" applyFont="1" applyFill="1" applyBorder="1" applyAlignment="1">
      <alignment horizontal="center" vertical="center"/>
    </xf>
    <xf numFmtId="0" fontId="14" fillId="0" borderId="1" xfId="0" applyFont="1" applyFill="1" applyBorder="1" applyAlignment="1">
      <alignment horizontal="justify" vertical="center" wrapText="1"/>
    </xf>
    <xf numFmtId="0" fontId="3" fillId="0" borderId="1" xfId="0" applyNumberFormat="1" applyFont="1" applyFill="1" applyBorder="1" applyAlignment="1">
      <alignment horizontal="center" vertical="center"/>
    </xf>
    <xf numFmtId="2" fontId="6"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3" fillId="0" borderId="1" xfId="0" applyFont="1" applyFill="1" applyBorder="1" applyAlignment="1">
      <alignment horizontal="justify" vertical="center" wrapText="1"/>
    </xf>
    <xf numFmtId="0" fontId="3" fillId="0" borderId="1" xfId="0" applyNumberFormat="1" applyFont="1" applyFill="1" applyBorder="1" applyAlignment="1">
      <alignment horizontal="justify" vertical="center" wrapText="1"/>
    </xf>
    <xf numFmtId="0" fontId="18" fillId="0" borderId="1" xfId="0" applyFont="1" applyFill="1" applyBorder="1" applyAlignment="1">
      <alignment horizontal="justify" vertical="center" wrapText="1"/>
    </xf>
    <xf numFmtId="49" fontId="16" fillId="0" borderId="1" xfId="0" applyNumberFormat="1" applyFont="1" applyFill="1" applyBorder="1" applyAlignment="1">
      <alignment horizontal="center" vertical="center"/>
    </xf>
    <xf numFmtId="0" fontId="4" fillId="0" borderId="1" xfId="0" applyNumberFormat="1" applyFont="1" applyFill="1" applyBorder="1" applyAlignment="1">
      <alignment horizontal="justify" vertical="center" wrapText="1"/>
    </xf>
    <xf numFmtId="0" fontId="16" fillId="0" borderId="1" xfId="0" applyFont="1" applyFill="1" applyBorder="1" applyAlignment="1">
      <alignment horizontal="center" vertical="center"/>
    </xf>
    <xf numFmtId="0" fontId="9" fillId="0" borderId="0" xfId="0" applyFont="1" applyFill="1" applyAlignment="1">
      <alignment horizontal="center" vertical="top" wrapText="1"/>
    </xf>
    <xf numFmtId="0" fontId="6" fillId="0" borderId="4" xfId="0" applyFont="1" applyFill="1" applyBorder="1" applyAlignment="1">
      <alignment horizontal="center" vertical="center"/>
    </xf>
    <xf numFmtId="164" fontId="3" fillId="0" borderId="1" xfId="0" applyNumberFormat="1" applyFont="1" applyFill="1" applyBorder="1" applyAlignment="1">
      <alignment horizontal="center" vertical="center"/>
    </xf>
    <xf numFmtId="0" fontId="4" fillId="0" borderId="1" xfId="0" applyFont="1" applyFill="1" applyBorder="1" applyAlignment="1">
      <alignment horizontal="justify" wrapText="1"/>
    </xf>
    <xf numFmtId="164" fontId="15" fillId="0" borderId="1" xfId="0" applyNumberFormat="1" applyFont="1" applyFill="1" applyBorder="1" applyAlignment="1">
      <alignment horizontal="center" vertical="center"/>
    </xf>
    <xf numFmtId="164" fontId="16" fillId="0" borderId="1" xfId="0" applyNumberFormat="1" applyFont="1" applyFill="1" applyBorder="1" applyAlignment="1">
      <alignment horizontal="center" vertical="center"/>
    </xf>
    <xf numFmtId="0" fontId="7" fillId="0" borderId="1" xfId="0" applyNumberFormat="1" applyFont="1" applyFill="1" applyBorder="1" applyAlignment="1">
      <alignment horizontal="justify" vertical="center" wrapText="1"/>
    </xf>
    <xf numFmtId="0" fontId="4" fillId="0" borderId="1" xfId="0" quotePrefix="1" applyNumberFormat="1" applyFont="1" applyFill="1" applyBorder="1" applyAlignment="1">
      <alignment horizontal="justify" vertical="center" wrapText="1"/>
    </xf>
  </cellXfs>
  <cellStyles count="5">
    <cellStyle name="Обычный" xfId="0" builtinId="0"/>
    <cellStyle name="Обычный 2" xfId="2"/>
    <cellStyle name="Обычный_Лист1" xfId="1"/>
    <cellStyle name="Обычный_приложение 6" xfId="4"/>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69"/>
  <sheetViews>
    <sheetView workbookViewId="0">
      <selection activeCell="D4" sqref="D4"/>
    </sheetView>
  </sheetViews>
  <sheetFormatPr defaultColWidth="34" defaultRowHeight="15.75"/>
  <cols>
    <col min="1" max="1" width="8.140625" style="20" customWidth="1"/>
    <col min="2" max="2" width="58" style="13" customWidth="1"/>
    <col min="3" max="3" width="11.28515625" style="20" customWidth="1"/>
    <col min="4" max="4" width="15.42578125" style="20" customWidth="1"/>
    <col min="5" max="5" width="14" style="20" customWidth="1"/>
    <col min="6" max="6" width="14.28515625" style="20" customWidth="1"/>
    <col min="7" max="16384" width="34" style="20"/>
  </cols>
  <sheetData>
    <row r="1" spans="1:6">
      <c r="A1" s="18"/>
      <c r="C1" s="19"/>
      <c r="D1" s="23" t="s">
        <v>584</v>
      </c>
      <c r="E1" s="21"/>
      <c r="F1" s="2"/>
    </row>
    <row r="2" spans="1:6">
      <c r="A2" s="18"/>
      <c r="C2" s="19"/>
      <c r="D2" s="20" t="s">
        <v>157</v>
      </c>
      <c r="E2" s="21"/>
      <c r="F2" s="3"/>
    </row>
    <row r="3" spans="1:6">
      <c r="A3" s="18"/>
      <c r="C3" s="19"/>
      <c r="D3" s="20" t="s">
        <v>256</v>
      </c>
      <c r="E3" s="21"/>
      <c r="F3" s="3"/>
    </row>
    <row r="4" spans="1:6">
      <c r="A4" s="18"/>
      <c r="C4" s="19"/>
      <c r="D4" s="4" t="s">
        <v>592</v>
      </c>
      <c r="E4" s="4"/>
      <c r="F4" s="5"/>
    </row>
    <row r="5" spans="1:6">
      <c r="A5" s="18"/>
      <c r="C5" s="19"/>
      <c r="D5" s="4"/>
      <c r="E5" s="4"/>
      <c r="F5" s="5"/>
    </row>
    <row r="6" spans="1:6">
      <c r="A6" s="18"/>
      <c r="C6" s="19"/>
      <c r="D6" s="23" t="s">
        <v>156</v>
      </c>
      <c r="E6" s="21"/>
      <c r="F6" s="2"/>
    </row>
    <row r="7" spans="1:6">
      <c r="A7" s="18"/>
      <c r="C7" s="19"/>
      <c r="D7" s="20" t="s">
        <v>157</v>
      </c>
      <c r="E7" s="21"/>
      <c r="F7" s="3"/>
    </row>
    <row r="8" spans="1:6">
      <c r="A8" s="18"/>
      <c r="C8" s="19"/>
      <c r="D8" s="20" t="s">
        <v>256</v>
      </c>
      <c r="E8" s="21"/>
      <c r="F8" s="3"/>
    </row>
    <row r="9" spans="1:6">
      <c r="A9" s="18"/>
      <c r="C9" s="19"/>
      <c r="D9" s="4" t="s">
        <v>585</v>
      </c>
      <c r="E9" s="4"/>
      <c r="F9" s="5"/>
    </row>
    <row r="10" spans="1:6">
      <c r="A10" s="18"/>
      <c r="C10" s="19"/>
      <c r="D10" s="4"/>
      <c r="E10" s="4"/>
      <c r="F10" s="5"/>
    </row>
    <row r="12" spans="1:6" ht="60.75" customHeight="1">
      <c r="A12" s="283" t="s">
        <v>469</v>
      </c>
      <c r="B12" s="283"/>
      <c r="C12" s="283"/>
      <c r="D12" s="283"/>
      <c r="E12" s="283"/>
      <c r="F12" s="283"/>
    </row>
    <row r="13" spans="1:6">
      <c r="A13" s="11"/>
      <c r="B13" s="14"/>
      <c r="C13" s="12"/>
      <c r="D13" s="12"/>
      <c r="E13" s="12"/>
      <c r="F13" s="12"/>
    </row>
    <row r="14" spans="1:6">
      <c r="A14" s="6"/>
      <c r="B14" s="15"/>
      <c r="C14" s="7"/>
      <c r="D14" s="8"/>
      <c r="E14" s="8"/>
      <c r="F14" s="8" t="s">
        <v>0</v>
      </c>
    </row>
    <row r="15" spans="1:6" ht="31.5">
      <c r="A15" s="9" t="s">
        <v>1</v>
      </c>
      <c r="B15" s="16" t="s">
        <v>87</v>
      </c>
      <c r="C15" s="10" t="s">
        <v>4</v>
      </c>
      <c r="D15" s="1" t="s">
        <v>470</v>
      </c>
      <c r="E15" s="1" t="s">
        <v>325</v>
      </c>
      <c r="F15" s="1" t="s">
        <v>471</v>
      </c>
    </row>
    <row r="16" spans="1:6">
      <c r="A16" s="255"/>
      <c r="B16" s="9" t="s">
        <v>7</v>
      </c>
      <c r="C16" s="256" t="s">
        <v>8</v>
      </c>
      <c r="D16" s="256" t="s">
        <v>9</v>
      </c>
      <c r="E16" s="256" t="s">
        <v>10</v>
      </c>
      <c r="F16" s="256" t="s">
        <v>11</v>
      </c>
    </row>
    <row r="17" spans="1:6" ht="24.75" customHeight="1">
      <c r="A17" s="257">
        <v>1</v>
      </c>
      <c r="B17" s="258" t="s">
        <v>88</v>
      </c>
      <c r="C17" s="259" t="s">
        <v>89</v>
      </c>
      <c r="D17" s="260">
        <f>D18+D19+D20+D22+D24+D25+D21+D23</f>
        <v>131932.19</v>
      </c>
      <c r="E17" s="260">
        <f t="shared" ref="E17:F17" si="0">E18+E19+E20+E22+E24+E25+E21+E23</f>
        <v>120531.32</v>
      </c>
      <c r="F17" s="260">
        <f t="shared" si="0"/>
        <v>120531.00000000001</v>
      </c>
    </row>
    <row r="18" spans="1:6" ht="36" customHeight="1">
      <c r="A18" s="257">
        <v>2</v>
      </c>
      <c r="B18" s="261" t="s">
        <v>90</v>
      </c>
      <c r="C18" s="262" t="s">
        <v>91</v>
      </c>
      <c r="D18" s="263">
        <f>'приложение 6'!G171</f>
        <v>1928.52</v>
      </c>
      <c r="E18" s="263">
        <f>'приложение 6'!H171</f>
        <v>1727.01</v>
      </c>
      <c r="F18" s="263">
        <f>'приложение 6'!I171</f>
        <v>1727.01</v>
      </c>
    </row>
    <row r="19" spans="1:6" ht="53.25" customHeight="1">
      <c r="A19" s="257">
        <v>3</v>
      </c>
      <c r="B19" s="261" t="s">
        <v>92</v>
      </c>
      <c r="C19" s="262" t="s">
        <v>93</v>
      </c>
      <c r="D19" s="263">
        <f>'приложение 6'!G779</f>
        <v>5466.66</v>
      </c>
      <c r="E19" s="263">
        <f>'приложение 6'!H779</f>
        <v>5943.67</v>
      </c>
      <c r="F19" s="263">
        <f>'приложение 6'!I779</f>
        <v>5943.67</v>
      </c>
    </row>
    <row r="20" spans="1:6" ht="63">
      <c r="A20" s="257">
        <v>4</v>
      </c>
      <c r="B20" s="261" t="s">
        <v>19</v>
      </c>
      <c r="C20" s="262" t="s">
        <v>94</v>
      </c>
      <c r="D20" s="263">
        <f>'приложение 6'!G180</f>
        <v>28719.73</v>
      </c>
      <c r="E20" s="263">
        <f>'приложение 6'!H180</f>
        <v>25683.399999999998</v>
      </c>
      <c r="F20" s="263">
        <f>'приложение 6'!I180</f>
        <v>25683.399999999998</v>
      </c>
    </row>
    <row r="21" spans="1:6">
      <c r="A21" s="257">
        <v>5</v>
      </c>
      <c r="B21" s="264" t="s">
        <v>164</v>
      </c>
      <c r="C21" s="262" t="s">
        <v>167</v>
      </c>
      <c r="D21" s="263">
        <f>'приложение 6'!G204</f>
        <v>5</v>
      </c>
      <c r="E21" s="263">
        <f>'приложение 6'!H204</f>
        <v>5.3999999999999995</v>
      </c>
      <c r="F21" s="263">
        <f>'приложение 6'!I204</f>
        <v>41.8</v>
      </c>
    </row>
    <row r="22" spans="1:6" ht="47.25">
      <c r="A22" s="257">
        <v>6</v>
      </c>
      <c r="B22" s="261" t="s">
        <v>14</v>
      </c>
      <c r="C22" s="262" t="s">
        <v>95</v>
      </c>
      <c r="D22" s="263">
        <f>'приложение 6'!G19+'приложение 6'!G764</f>
        <v>16185.47</v>
      </c>
      <c r="E22" s="263">
        <f>'приложение 6'!H19+'приложение 6'!H764</f>
        <v>15005.510000000002</v>
      </c>
      <c r="F22" s="263">
        <f>'приложение 6'!I19+'приложение 6'!I764</f>
        <v>15004.510000000002</v>
      </c>
    </row>
    <row r="23" spans="1:6">
      <c r="A23" s="257">
        <v>7</v>
      </c>
      <c r="B23" s="253" t="s">
        <v>466</v>
      </c>
      <c r="C23" s="265" t="s">
        <v>465</v>
      </c>
      <c r="D23" s="263">
        <f>'приложение 6'!G205</f>
        <v>1451.2</v>
      </c>
      <c r="E23" s="263">
        <f>'приложение 6'!H205</f>
        <v>0</v>
      </c>
      <c r="F23" s="263">
        <f>'приложение 6'!I205</f>
        <v>0</v>
      </c>
    </row>
    <row r="24" spans="1:6">
      <c r="A24" s="257">
        <v>8</v>
      </c>
      <c r="B24" s="261" t="s">
        <v>33</v>
      </c>
      <c r="C24" s="262" t="s">
        <v>96</v>
      </c>
      <c r="D24" s="263">
        <f>'приложение 6'!G216</f>
        <v>150</v>
      </c>
      <c r="E24" s="263">
        <f>'приложение 6'!H216</f>
        <v>150</v>
      </c>
      <c r="F24" s="263">
        <f>'приложение 6'!I216</f>
        <v>150</v>
      </c>
    </row>
    <row r="25" spans="1:6">
      <c r="A25" s="257">
        <v>9</v>
      </c>
      <c r="B25" s="261" t="s">
        <v>37</v>
      </c>
      <c r="C25" s="262" t="s">
        <v>97</v>
      </c>
      <c r="D25" s="263">
        <f>'приложение 6'!G217+'приложение 6'!G426+'приложение 6'!G449+'приложение 6'!G472+'приложение 6'!G484+'приложение 6'!G43</f>
        <v>78025.61</v>
      </c>
      <c r="E25" s="263">
        <f>'приложение 6'!H217+'приложение 6'!H426+'приложение 6'!H449+'приложение 6'!H472+'приложение 6'!H484+'приложение 6'!H43</f>
        <v>72016.330000000016</v>
      </c>
      <c r="F25" s="263">
        <f>'приложение 6'!I217+'приложение 6'!I426+'приложение 6'!I449+'приложение 6'!I472+'приложение 6'!I484+'приложение 6'!I43</f>
        <v>71980.610000000015</v>
      </c>
    </row>
    <row r="26" spans="1:6" ht="29.25" customHeight="1">
      <c r="A26" s="257">
        <v>10</v>
      </c>
      <c r="B26" s="258" t="s">
        <v>98</v>
      </c>
      <c r="C26" s="259" t="s">
        <v>99</v>
      </c>
      <c r="D26" s="266">
        <f>D27</f>
        <v>1683.7</v>
      </c>
      <c r="E26" s="266">
        <f t="shared" ref="E26:F26" si="1">E27</f>
        <v>1693.8999999999999</v>
      </c>
      <c r="F26" s="266">
        <f t="shared" si="1"/>
        <v>1741.4</v>
      </c>
    </row>
    <row r="27" spans="1:6">
      <c r="A27" s="257">
        <v>11</v>
      </c>
      <c r="B27" s="261" t="s">
        <v>24</v>
      </c>
      <c r="C27" s="262" t="s">
        <v>100</v>
      </c>
      <c r="D27" s="263">
        <f>'приложение 6'!G53</f>
        <v>1683.7</v>
      </c>
      <c r="E27" s="263">
        <f>'приложение 6'!H53</f>
        <v>1693.8999999999999</v>
      </c>
      <c r="F27" s="263">
        <f>'приложение 6'!I53</f>
        <v>1741.4</v>
      </c>
    </row>
    <row r="28" spans="1:6" ht="35.25" customHeight="1">
      <c r="A28" s="257">
        <v>12</v>
      </c>
      <c r="B28" s="267" t="s">
        <v>101</v>
      </c>
      <c r="C28" s="259" t="s">
        <v>102</v>
      </c>
      <c r="D28" s="268">
        <f>D29+D30</f>
        <v>6546.630000000001</v>
      </c>
      <c r="E28" s="268">
        <f t="shared" ref="E28:F28" si="2">E29+E30</f>
        <v>6257.1900000000005</v>
      </c>
      <c r="F28" s="268">
        <f t="shared" si="2"/>
        <v>6257.1900000000005</v>
      </c>
    </row>
    <row r="29" spans="1:6" ht="47.25">
      <c r="A29" s="257">
        <v>13</v>
      </c>
      <c r="B29" s="261" t="s">
        <v>77</v>
      </c>
      <c r="C29" s="262" t="s">
        <v>103</v>
      </c>
      <c r="D29" s="263">
        <f>'приложение 6'!G405+'приложение 6'!G253</f>
        <v>5565.4400000000005</v>
      </c>
      <c r="E29" s="263">
        <f>'приложение 6'!H405+'приложение 6'!H253</f>
        <v>4883.5200000000004</v>
      </c>
      <c r="F29" s="263">
        <f>'приложение 6'!I405+'приложение 6'!I253</f>
        <v>4883.5200000000004</v>
      </c>
    </row>
    <row r="30" spans="1:6">
      <c r="A30" s="257">
        <v>14</v>
      </c>
      <c r="B30" s="264" t="s">
        <v>438</v>
      </c>
      <c r="C30" s="262" t="s">
        <v>439</v>
      </c>
      <c r="D30" s="263">
        <f>'приложение 6'!G59</f>
        <v>981.19</v>
      </c>
      <c r="E30" s="263">
        <f>'приложение 6'!H59</f>
        <v>1373.67</v>
      </c>
      <c r="F30" s="263">
        <f>'приложение 6'!I59</f>
        <v>1373.67</v>
      </c>
    </row>
    <row r="31" spans="1:6" ht="33.75" customHeight="1">
      <c r="A31" s="257">
        <v>15</v>
      </c>
      <c r="B31" s="258" t="s">
        <v>104</v>
      </c>
      <c r="C31" s="259" t="s">
        <v>105</v>
      </c>
      <c r="D31" s="269">
        <f>D32+D33+D34+D35+D37+D36</f>
        <v>48252.87672</v>
      </c>
      <c r="E31" s="269">
        <f t="shared" ref="E31:F31" si="3">E32+E33+E34+E35+E37+E36</f>
        <v>42697.173999999999</v>
      </c>
      <c r="F31" s="269">
        <f t="shared" si="3"/>
        <v>42939.869999999995</v>
      </c>
    </row>
    <row r="32" spans="1:6">
      <c r="A32" s="257">
        <v>16</v>
      </c>
      <c r="B32" s="261" t="s">
        <v>106</v>
      </c>
      <c r="C32" s="262" t="s">
        <v>107</v>
      </c>
      <c r="D32" s="263">
        <f>'приложение 6'!G67</f>
        <v>200</v>
      </c>
      <c r="E32" s="263">
        <f>'приложение 6'!H67</f>
        <v>0</v>
      </c>
      <c r="F32" s="263">
        <f>'приложение 6'!I67</f>
        <v>0</v>
      </c>
    </row>
    <row r="33" spans="1:6">
      <c r="A33" s="257">
        <v>17</v>
      </c>
      <c r="B33" s="261" t="s">
        <v>43</v>
      </c>
      <c r="C33" s="262" t="s">
        <v>108</v>
      </c>
      <c r="D33" s="263">
        <f>'приложение 6'!G263</f>
        <v>769.1</v>
      </c>
      <c r="E33" s="263">
        <f>'приложение 6'!H263</f>
        <v>820</v>
      </c>
      <c r="F33" s="263">
        <f>'приложение 6'!I263</f>
        <v>820</v>
      </c>
    </row>
    <row r="34" spans="1:6">
      <c r="A34" s="257">
        <v>18</v>
      </c>
      <c r="B34" s="261" t="s">
        <v>42</v>
      </c>
      <c r="C34" s="262" t="s">
        <v>109</v>
      </c>
      <c r="D34" s="263">
        <f>'приложение 6'!G271</f>
        <v>21221.62672</v>
      </c>
      <c r="E34" s="263">
        <f>'приложение 6'!H271</f>
        <v>21221.63</v>
      </c>
      <c r="F34" s="263">
        <f>'приложение 6'!I271</f>
        <v>21221.63</v>
      </c>
    </row>
    <row r="35" spans="1:6">
      <c r="A35" s="257">
        <v>19</v>
      </c>
      <c r="B35" s="261" t="s">
        <v>110</v>
      </c>
      <c r="C35" s="262" t="s">
        <v>111</v>
      </c>
      <c r="D35" s="263">
        <f>'приложение 6'!G73+'приложение 6'!G280</f>
        <v>21157.5</v>
      </c>
      <c r="E35" s="263">
        <f>'приложение 6'!H73+'приложение 6'!H280</f>
        <v>20595.543999999998</v>
      </c>
      <c r="F35" s="263">
        <f>'приложение 6'!I73+'приложение 6'!I280</f>
        <v>20838.239999999998</v>
      </c>
    </row>
    <row r="36" spans="1:6">
      <c r="A36" s="257">
        <v>20</v>
      </c>
      <c r="B36" s="264" t="s">
        <v>284</v>
      </c>
      <c r="C36" s="262" t="s">
        <v>285</v>
      </c>
      <c r="D36" s="263">
        <f>'приложение 6'!G305</f>
        <v>4182.6499999999996</v>
      </c>
      <c r="E36" s="263">
        <f>'приложение 6'!H305</f>
        <v>0</v>
      </c>
      <c r="F36" s="263">
        <f>'приложение 6'!I305</f>
        <v>0</v>
      </c>
    </row>
    <row r="37" spans="1:6">
      <c r="A37" s="257">
        <v>21</v>
      </c>
      <c r="B37" s="261" t="s">
        <v>50</v>
      </c>
      <c r="C37" s="262" t="s">
        <v>112</v>
      </c>
      <c r="D37" s="263">
        <f>'приложение 6'!G306</f>
        <v>722</v>
      </c>
      <c r="E37" s="263">
        <f>'приложение 6'!H306</f>
        <v>60</v>
      </c>
      <c r="F37" s="263">
        <f>'приложение 6'!I306</f>
        <v>60</v>
      </c>
    </row>
    <row r="38" spans="1:6" ht="34.5" customHeight="1">
      <c r="A38" s="257">
        <v>22</v>
      </c>
      <c r="B38" s="258" t="s">
        <v>113</v>
      </c>
      <c r="C38" s="259" t="s">
        <v>114</v>
      </c>
      <c r="D38" s="266">
        <f>D40+D41+D39+D42</f>
        <v>198774.35</v>
      </c>
      <c r="E38" s="266">
        <f t="shared" ref="E38:F38" si="4">E40+E41+E39+E42</f>
        <v>148336.88</v>
      </c>
      <c r="F38" s="266">
        <f t="shared" si="4"/>
        <v>60023.199999999997</v>
      </c>
    </row>
    <row r="39" spans="1:6" ht="34.5" customHeight="1">
      <c r="A39" s="257">
        <v>23</v>
      </c>
      <c r="B39" s="264" t="s">
        <v>422</v>
      </c>
      <c r="C39" s="265" t="s">
        <v>423</v>
      </c>
      <c r="D39" s="263">
        <f>'приложение 6'!G87+'приложение 6'!G317</f>
        <v>126885.31999999999</v>
      </c>
      <c r="E39" s="263">
        <f>'приложение 6'!H87+'приложение 6'!H317</f>
        <v>88413.68</v>
      </c>
      <c r="F39" s="263">
        <f>'приложение 6'!I87+'приложение 6'!I317</f>
        <v>100</v>
      </c>
    </row>
    <row r="40" spans="1:6">
      <c r="A40" s="257">
        <v>24</v>
      </c>
      <c r="B40" s="261" t="s">
        <v>115</v>
      </c>
      <c r="C40" s="262" t="s">
        <v>116</v>
      </c>
      <c r="D40" s="263">
        <f>'приложение 6'!G323+'приложение 6'!G96</f>
        <v>59736.3</v>
      </c>
      <c r="E40" s="263">
        <f>'приложение 6'!H323+'приложение 6'!H96</f>
        <v>59923.199999999997</v>
      </c>
      <c r="F40" s="263">
        <f>'приложение 6'!I323+'приложение 6'!I96</f>
        <v>59923.199999999997</v>
      </c>
    </row>
    <row r="41" spans="1:6">
      <c r="A41" s="257">
        <v>25</v>
      </c>
      <c r="B41" s="264" t="s">
        <v>311</v>
      </c>
      <c r="C41" s="265" t="s">
        <v>312</v>
      </c>
      <c r="D41" s="263">
        <f>'приложение 6'!G102</f>
        <v>3022.73</v>
      </c>
      <c r="E41" s="263">
        <f>'приложение 6'!H102</f>
        <v>0</v>
      </c>
      <c r="F41" s="263">
        <f>'приложение 6'!I102</f>
        <v>0</v>
      </c>
    </row>
    <row r="42" spans="1:6" ht="31.5">
      <c r="A42" s="257">
        <v>26</v>
      </c>
      <c r="B42" s="264" t="s">
        <v>489</v>
      </c>
      <c r="C42" s="265" t="s">
        <v>490</v>
      </c>
      <c r="D42" s="263">
        <f>'приложение 6'!G117</f>
        <v>9130</v>
      </c>
      <c r="E42" s="263">
        <f>'приложение 6'!H117</f>
        <v>0</v>
      </c>
      <c r="F42" s="263">
        <f>'приложение 6'!I117</f>
        <v>0</v>
      </c>
    </row>
    <row r="43" spans="1:6">
      <c r="A43" s="257">
        <v>27</v>
      </c>
      <c r="B43" s="103" t="s">
        <v>561</v>
      </c>
      <c r="C43" s="270" t="s">
        <v>554</v>
      </c>
      <c r="D43" s="271">
        <f>D44</f>
        <v>486.95</v>
      </c>
      <c r="E43" s="271">
        <f t="shared" ref="E43:F43" si="5">E44</f>
        <v>202.1</v>
      </c>
      <c r="F43" s="271">
        <f t="shared" si="5"/>
        <v>202.1</v>
      </c>
    </row>
    <row r="44" spans="1:6" ht="30">
      <c r="A44" s="257">
        <v>28</v>
      </c>
      <c r="B44" s="253" t="s">
        <v>562</v>
      </c>
      <c r="C44" s="265" t="s">
        <v>555</v>
      </c>
      <c r="D44" s="263">
        <f>'приложение 6'!G333</f>
        <v>486.95</v>
      </c>
      <c r="E44" s="263">
        <f>'приложение 6'!H333</f>
        <v>202.1</v>
      </c>
      <c r="F44" s="263">
        <f>'приложение 6'!I333</f>
        <v>202.1</v>
      </c>
    </row>
    <row r="45" spans="1:6" ht="31.5" customHeight="1">
      <c r="A45" s="257">
        <v>29</v>
      </c>
      <c r="B45" s="258" t="s">
        <v>117</v>
      </c>
      <c r="C45" s="259" t="s">
        <v>118</v>
      </c>
      <c r="D45" s="266">
        <f>D46+D47+D49+D50+D48</f>
        <v>675640.92099999997</v>
      </c>
      <c r="E45" s="266">
        <f t="shared" ref="E45:F45" si="6">E46+E47+E49+E50+E48</f>
        <v>567064.93500000006</v>
      </c>
      <c r="F45" s="266">
        <f t="shared" si="6"/>
        <v>571692.03500000003</v>
      </c>
    </row>
    <row r="46" spans="1:6">
      <c r="A46" s="257">
        <v>30</v>
      </c>
      <c r="B46" s="261" t="s">
        <v>119</v>
      </c>
      <c r="C46" s="262" t="s">
        <v>120</v>
      </c>
      <c r="D46" s="263">
        <f>'приложение 6'!G510</f>
        <v>185027.72000000003</v>
      </c>
      <c r="E46" s="263">
        <f>'приложение 6'!H510</f>
        <v>176848.96000000002</v>
      </c>
      <c r="F46" s="263">
        <f>'приложение 6'!I510</f>
        <v>176848.96000000002</v>
      </c>
    </row>
    <row r="47" spans="1:6">
      <c r="A47" s="257">
        <v>31</v>
      </c>
      <c r="B47" s="261" t="s">
        <v>68</v>
      </c>
      <c r="C47" s="262" t="s">
        <v>121</v>
      </c>
      <c r="D47" s="263">
        <f>'приложение 6'!G531+'приложение 6'!G342</f>
        <v>405848.02999999997</v>
      </c>
      <c r="E47" s="263">
        <f>'приложение 6'!H531+'приложение 6'!H342</f>
        <v>308030.65000000002</v>
      </c>
      <c r="F47" s="263">
        <f>'приложение 6'!I531+'приложение 6'!I342</f>
        <v>312657.75</v>
      </c>
    </row>
    <row r="48" spans="1:6">
      <c r="A48" s="257">
        <v>32</v>
      </c>
      <c r="B48" s="264" t="s">
        <v>168</v>
      </c>
      <c r="C48" s="262" t="s">
        <v>176</v>
      </c>
      <c r="D48" s="263">
        <f>'приложение 6'!G573+'приложение 6'!G634</f>
        <v>57155.277000000002</v>
      </c>
      <c r="E48" s="263">
        <f>'приложение 6'!H573+'приложение 6'!H634</f>
        <v>55110.945</v>
      </c>
      <c r="F48" s="263">
        <f>'приложение 6'!I573+'приложение 6'!I634</f>
        <v>55110.945</v>
      </c>
    </row>
    <row r="49" spans="1:6">
      <c r="A49" s="257">
        <v>33</v>
      </c>
      <c r="B49" s="261" t="s">
        <v>169</v>
      </c>
      <c r="C49" s="262" t="s">
        <v>122</v>
      </c>
      <c r="D49" s="263">
        <f>'приложение 6'!G652</f>
        <v>6131.6539999999995</v>
      </c>
      <c r="E49" s="263">
        <f>'приложение 6'!H652</f>
        <v>6432.48</v>
      </c>
      <c r="F49" s="263">
        <f>'приложение 6'!I652</f>
        <v>6432.48</v>
      </c>
    </row>
    <row r="50" spans="1:6">
      <c r="A50" s="257">
        <v>34</v>
      </c>
      <c r="B50" s="261" t="s">
        <v>56</v>
      </c>
      <c r="C50" s="262" t="s">
        <v>123</v>
      </c>
      <c r="D50" s="263">
        <f>'приложение 6'!G595+'приложение 6'!G348</f>
        <v>21478.239999999998</v>
      </c>
      <c r="E50" s="263">
        <f>'приложение 6'!H595+'приложение 6'!H348</f>
        <v>20641.900000000001</v>
      </c>
      <c r="F50" s="263">
        <f>'приложение 6'!I595+'приложение 6'!I348</f>
        <v>20641.900000000001</v>
      </c>
    </row>
    <row r="51" spans="1:6" ht="32.25" customHeight="1">
      <c r="A51" s="257">
        <v>35</v>
      </c>
      <c r="B51" s="258" t="s">
        <v>124</v>
      </c>
      <c r="C51" s="259" t="s">
        <v>125</v>
      </c>
      <c r="D51" s="266">
        <f>D52+D53</f>
        <v>83526.399560000005</v>
      </c>
      <c r="E51" s="266">
        <f t="shared" ref="E51:F51" si="7">E52+E53</f>
        <v>77225.05</v>
      </c>
      <c r="F51" s="266">
        <f t="shared" si="7"/>
        <v>76944.3</v>
      </c>
    </row>
    <row r="52" spans="1:6">
      <c r="A52" s="257">
        <v>36</v>
      </c>
      <c r="B52" s="261" t="s">
        <v>71</v>
      </c>
      <c r="C52" s="262" t="s">
        <v>126</v>
      </c>
      <c r="D52" s="263">
        <f>'приложение 6'!G676</f>
        <v>79807.62556</v>
      </c>
      <c r="E52" s="263">
        <f>'приложение 6'!H676</f>
        <v>73393.39</v>
      </c>
      <c r="F52" s="263">
        <f>'приложение 6'!I676</f>
        <v>73112.639999999999</v>
      </c>
    </row>
    <row r="53" spans="1:6">
      <c r="A53" s="257">
        <v>37</v>
      </c>
      <c r="B53" s="261" t="s">
        <v>76</v>
      </c>
      <c r="C53" s="262" t="s">
        <v>127</v>
      </c>
      <c r="D53" s="263">
        <f>'приложение 6'!G723</f>
        <v>3718.7740000000003</v>
      </c>
      <c r="E53" s="263">
        <f>'приложение 6'!H723</f>
        <v>3831.66</v>
      </c>
      <c r="F53" s="263">
        <f>'приложение 6'!I723</f>
        <v>3831.66</v>
      </c>
    </row>
    <row r="54" spans="1:6" ht="31.5" customHeight="1">
      <c r="A54" s="257">
        <v>38</v>
      </c>
      <c r="B54" s="258" t="s">
        <v>128</v>
      </c>
      <c r="C54" s="259" t="s">
        <v>129</v>
      </c>
      <c r="D54" s="266">
        <f>D55+D56+D58+D57</f>
        <v>18482.72</v>
      </c>
      <c r="E54" s="266">
        <f t="shared" ref="E54:F54" si="8">E55+E56+E58+E57</f>
        <v>18398.04</v>
      </c>
      <c r="F54" s="266">
        <f t="shared" si="8"/>
        <v>18385.440000000002</v>
      </c>
    </row>
    <row r="55" spans="1:6">
      <c r="A55" s="257">
        <v>39</v>
      </c>
      <c r="B55" s="261" t="s">
        <v>79</v>
      </c>
      <c r="C55" s="262" t="s">
        <v>130</v>
      </c>
      <c r="D55" s="263">
        <f>'приложение 6'!G360</f>
        <v>1063.97</v>
      </c>
      <c r="E55" s="263">
        <f>'приложение 6'!H360</f>
        <v>585.5</v>
      </c>
      <c r="F55" s="263">
        <f>'приложение 6'!I360</f>
        <v>585.5</v>
      </c>
    </row>
    <row r="56" spans="1:6">
      <c r="A56" s="257">
        <v>40</v>
      </c>
      <c r="B56" s="261" t="s">
        <v>81</v>
      </c>
      <c r="C56" s="262" t="s">
        <v>131</v>
      </c>
      <c r="D56" s="263">
        <f>'приложение 6'!G613+'приложение 6'!G365</f>
        <v>12707.220000000001</v>
      </c>
      <c r="E56" s="263">
        <f>'приложение 6'!H613+'приложение 6'!H365</f>
        <v>11540.14</v>
      </c>
      <c r="F56" s="263">
        <f>'приложение 6'!I613+'приложение 6'!I365</f>
        <v>11527.54</v>
      </c>
    </row>
    <row r="57" spans="1:6">
      <c r="A57" s="257">
        <v>41</v>
      </c>
      <c r="B57" s="264" t="s">
        <v>61</v>
      </c>
      <c r="C57" s="262">
        <v>1004</v>
      </c>
      <c r="D57" s="263">
        <f>'приложение 6'!G624+'приложение 6'!G371</f>
        <v>3092.2000000000003</v>
      </c>
      <c r="E57" s="263">
        <f>'приложение 6'!H624+'приложение 6'!H371</f>
        <v>4522.6000000000004</v>
      </c>
      <c r="F57" s="263">
        <f>'приложение 6'!I624+'приложение 6'!I371</f>
        <v>4522.6000000000004</v>
      </c>
    </row>
    <row r="58" spans="1:6">
      <c r="A58" s="257">
        <v>42</v>
      </c>
      <c r="B58" s="261" t="s">
        <v>82</v>
      </c>
      <c r="C58" s="262" t="s">
        <v>132</v>
      </c>
      <c r="D58" s="272">
        <f>'приложение 6'!G377+'приложение 6'!G752</f>
        <v>1619.33</v>
      </c>
      <c r="E58" s="272">
        <f>'приложение 6'!H377+'приложение 6'!H752</f>
        <v>1749.8000000000002</v>
      </c>
      <c r="F58" s="272">
        <f>'приложение 6'!I377+'приложение 6'!I752</f>
        <v>1749.8000000000002</v>
      </c>
    </row>
    <row r="59" spans="1:6">
      <c r="A59" s="257">
        <v>43</v>
      </c>
      <c r="B59" s="273" t="s">
        <v>267</v>
      </c>
      <c r="C59" s="274">
        <v>1100</v>
      </c>
      <c r="D59" s="275">
        <f>D60</f>
        <v>119.47</v>
      </c>
      <c r="E59" s="275">
        <f t="shared" ref="E59:F59" si="9">E60</f>
        <v>139.47</v>
      </c>
      <c r="F59" s="275">
        <f t="shared" si="9"/>
        <v>139.47</v>
      </c>
    </row>
    <row r="60" spans="1:6">
      <c r="A60" s="257">
        <v>44</v>
      </c>
      <c r="B60" s="264" t="s">
        <v>263</v>
      </c>
      <c r="C60" s="262">
        <v>1101</v>
      </c>
      <c r="D60" s="272">
        <f>'приложение 6'!G740</f>
        <v>119.47</v>
      </c>
      <c r="E60" s="272">
        <f>'приложение 6'!H740</f>
        <v>139.47</v>
      </c>
      <c r="F60" s="272">
        <f>'приложение 6'!I740</f>
        <v>139.47</v>
      </c>
    </row>
    <row r="61" spans="1:6" ht="31.5">
      <c r="A61" s="257">
        <v>45</v>
      </c>
      <c r="B61" s="273" t="s">
        <v>516</v>
      </c>
      <c r="C61" s="274">
        <v>1300</v>
      </c>
      <c r="D61" s="275">
        <f>D62</f>
        <v>31</v>
      </c>
      <c r="E61" s="275">
        <f t="shared" ref="E61:F61" si="10">E62</f>
        <v>0</v>
      </c>
      <c r="F61" s="275">
        <f t="shared" si="10"/>
        <v>0</v>
      </c>
    </row>
    <row r="62" spans="1:6">
      <c r="A62" s="257">
        <v>46</v>
      </c>
      <c r="B62" s="264" t="s">
        <v>517</v>
      </c>
      <c r="C62" s="262">
        <v>1301</v>
      </c>
      <c r="D62" s="272">
        <f>'приложение 6'!G134</f>
        <v>31</v>
      </c>
      <c r="E62" s="272">
        <f>'приложение 6'!H134</f>
        <v>0</v>
      </c>
      <c r="F62" s="272">
        <f>'приложение 6'!I134</f>
        <v>0</v>
      </c>
    </row>
    <row r="63" spans="1:6" ht="63">
      <c r="A63" s="257">
        <v>47</v>
      </c>
      <c r="B63" s="258" t="s">
        <v>170</v>
      </c>
      <c r="C63" s="259" t="s">
        <v>133</v>
      </c>
      <c r="D63" s="260">
        <f>D64+D65</f>
        <v>101896.54000000001</v>
      </c>
      <c r="E63" s="260">
        <f t="shared" ref="E63:F63" si="11">E64+E65</f>
        <v>90851.5</v>
      </c>
      <c r="F63" s="260">
        <f t="shared" si="11"/>
        <v>90851.5</v>
      </c>
    </row>
    <row r="64" spans="1:6">
      <c r="A64" s="257">
        <v>48</v>
      </c>
      <c r="B64" s="261" t="s">
        <v>171</v>
      </c>
      <c r="C64" s="262" t="s">
        <v>134</v>
      </c>
      <c r="D64" s="272">
        <f>'приложение 6'!G141</f>
        <v>33022.589999999997</v>
      </c>
      <c r="E64" s="272">
        <f>'приложение 6'!H141</f>
        <v>27849.59</v>
      </c>
      <c r="F64" s="272">
        <f>'приложение 6'!I141</f>
        <v>27849.59</v>
      </c>
    </row>
    <row r="65" spans="1:6">
      <c r="A65" s="257">
        <v>49</v>
      </c>
      <c r="B65" s="261" t="s">
        <v>31</v>
      </c>
      <c r="C65" s="262" t="s">
        <v>135</v>
      </c>
      <c r="D65" s="272">
        <f>'приложение 6'!G150</f>
        <v>68873.950000000012</v>
      </c>
      <c r="E65" s="272">
        <f>'приложение 6'!H150</f>
        <v>63001.91</v>
      </c>
      <c r="F65" s="272">
        <f>'приложение 6'!I150</f>
        <v>63001.91</v>
      </c>
    </row>
    <row r="66" spans="1:6">
      <c r="A66" s="257">
        <v>50</v>
      </c>
      <c r="B66" s="261" t="s">
        <v>136</v>
      </c>
      <c r="C66" s="262"/>
      <c r="D66" s="272"/>
      <c r="E66" s="272">
        <f>'приложение 6'!H801</f>
        <v>26739.200000000001</v>
      </c>
      <c r="F66" s="272">
        <f>'приложение 6'!I801</f>
        <v>49596.1</v>
      </c>
    </row>
    <row r="67" spans="1:6" ht="30.75" customHeight="1">
      <c r="A67" s="284" t="s">
        <v>137</v>
      </c>
      <c r="B67" s="284"/>
      <c r="C67" s="259" t="s">
        <v>138</v>
      </c>
      <c r="D67" s="260">
        <f>D17+D26+D28+D31+D38+D45+D51+D54+D59+D63+D66+D61+D43</f>
        <v>1267373.74728</v>
      </c>
      <c r="E67" s="260">
        <f t="shared" ref="E67:F67" si="12">E17+E26+E28+E31+E38+E45+E51+E54+E59+E63+E66+E61+E43</f>
        <v>1100136.7590000003</v>
      </c>
      <c r="F67" s="260">
        <f t="shared" si="12"/>
        <v>1039303.605</v>
      </c>
    </row>
    <row r="69" spans="1:6">
      <c r="D69" s="22">
        <f>D67-'приложение 6'!G802</f>
        <v>0</v>
      </c>
      <c r="E69" s="22">
        <f>E67-'приложение 6'!H802</f>
        <v>0</v>
      </c>
      <c r="F69" s="22">
        <f>F67-'приложение 6'!I802</f>
        <v>0</v>
      </c>
    </row>
  </sheetData>
  <mergeCells count="2">
    <mergeCell ref="A12:F12"/>
    <mergeCell ref="A67:B67"/>
  </mergeCells>
  <pageMargins left="0.31496062992125984" right="0.19685039370078741" top="0.74803149606299213" bottom="0.31496062992125984"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dimension ref="A1:M809"/>
  <sheetViews>
    <sheetView tabSelected="1" zoomScale="85" zoomScaleNormal="85" zoomScaleSheetLayoutView="93" workbookViewId="0">
      <selection activeCell="F4" sqref="F4"/>
    </sheetView>
  </sheetViews>
  <sheetFormatPr defaultRowHeight="15"/>
  <cols>
    <col min="1" max="1" width="7.85546875" style="98" customWidth="1"/>
    <col min="2" max="2" width="95.140625" style="24" customWidth="1"/>
    <col min="3" max="4" width="11.140625" style="25" customWidth="1"/>
    <col min="5" max="5" width="12.7109375" style="25" customWidth="1"/>
    <col min="6" max="6" width="9.140625" style="25" customWidth="1"/>
    <col min="7" max="7" width="15" style="27" customWidth="1"/>
    <col min="8" max="8" width="15.28515625" style="27" customWidth="1"/>
    <col min="9" max="9" width="16" style="27" customWidth="1"/>
    <col min="10" max="10" width="18.5703125" style="110" customWidth="1"/>
    <col min="11" max="11" width="12.28515625" style="110" customWidth="1"/>
    <col min="12" max="12" width="13.140625" style="110" bestFit="1" customWidth="1"/>
    <col min="13" max="13" width="11.140625" style="20" bestFit="1" customWidth="1"/>
    <col min="14" max="16384" width="9.140625" style="20"/>
  </cols>
  <sheetData>
    <row r="1" spans="1:9">
      <c r="F1" s="26" t="s">
        <v>586</v>
      </c>
    </row>
    <row r="2" spans="1:9" ht="21.75" customHeight="1">
      <c r="F2" s="28" t="s">
        <v>157</v>
      </c>
    </row>
    <row r="3" spans="1:9" ht="15.75" customHeight="1">
      <c r="F3" s="28" t="s">
        <v>257</v>
      </c>
    </row>
    <row r="4" spans="1:9" ht="19.5" customHeight="1">
      <c r="F4" s="28" t="s">
        <v>593</v>
      </c>
    </row>
    <row r="5" spans="1:9" ht="19.5" customHeight="1">
      <c r="F5" s="28"/>
    </row>
    <row r="6" spans="1:9" ht="19.5" customHeight="1">
      <c r="F6" s="26" t="s">
        <v>158</v>
      </c>
    </row>
    <row r="7" spans="1:9" ht="19.5" customHeight="1">
      <c r="F7" s="28" t="s">
        <v>157</v>
      </c>
    </row>
    <row r="8" spans="1:9" ht="19.5" customHeight="1">
      <c r="F8" s="28" t="s">
        <v>257</v>
      </c>
    </row>
    <row r="9" spans="1:9">
      <c r="F9" s="28" t="s">
        <v>585</v>
      </c>
    </row>
    <row r="11" spans="1:9">
      <c r="A11" s="285" t="s">
        <v>13</v>
      </c>
      <c r="B11" s="285"/>
      <c r="C11" s="285"/>
      <c r="D11" s="285"/>
      <c r="E11" s="285"/>
      <c r="F11" s="285"/>
      <c r="G11" s="285"/>
      <c r="H11" s="285"/>
      <c r="I11" s="285"/>
    </row>
    <row r="12" spans="1:9">
      <c r="A12" s="285" t="s">
        <v>349</v>
      </c>
      <c r="B12" s="285"/>
      <c r="C12" s="285"/>
      <c r="D12" s="285"/>
      <c r="E12" s="285"/>
      <c r="F12" s="285"/>
      <c r="G12" s="285"/>
      <c r="H12" s="285"/>
      <c r="I12" s="285"/>
    </row>
    <row r="13" spans="1:9">
      <c r="A13" s="113"/>
      <c r="B13" s="29"/>
      <c r="C13" s="29"/>
      <c r="D13" s="29"/>
      <c r="E13" s="29"/>
      <c r="F13" s="29"/>
      <c r="G13" s="29"/>
      <c r="H13" s="29"/>
      <c r="I13" s="29"/>
    </row>
    <row r="14" spans="1:9">
      <c r="A14" s="31"/>
      <c r="B14" s="32"/>
      <c r="C14" s="33"/>
      <c r="D14" s="33"/>
      <c r="E14" s="33"/>
      <c r="H14" s="30"/>
      <c r="I14" s="30" t="s">
        <v>0</v>
      </c>
    </row>
    <row r="15" spans="1:9" ht="30">
      <c r="A15" s="34" t="s">
        <v>1</v>
      </c>
      <c r="B15" s="34" t="s">
        <v>2</v>
      </c>
      <c r="C15" s="35" t="s">
        <v>3</v>
      </c>
      <c r="D15" s="35" t="s">
        <v>4</v>
      </c>
      <c r="E15" s="35" t="s">
        <v>5</v>
      </c>
      <c r="F15" s="35" t="s">
        <v>6</v>
      </c>
      <c r="G15" s="36" t="s">
        <v>173</v>
      </c>
      <c r="H15" s="36" t="s">
        <v>268</v>
      </c>
      <c r="I15" s="36" t="s">
        <v>350</v>
      </c>
    </row>
    <row r="16" spans="1:9">
      <c r="A16" s="37"/>
      <c r="B16" s="35" t="s">
        <v>7</v>
      </c>
      <c r="C16" s="35" t="s">
        <v>8</v>
      </c>
      <c r="D16" s="35" t="s">
        <v>9</v>
      </c>
      <c r="E16" s="35" t="s">
        <v>10</v>
      </c>
      <c r="F16" s="35" t="s">
        <v>11</v>
      </c>
      <c r="G16" s="36" t="s">
        <v>12</v>
      </c>
      <c r="H16" s="38">
        <v>7</v>
      </c>
      <c r="I16" s="38">
        <v>8</v>
      </c>
    </row>
    <row r="17" spans="1:11" ht="34.5" customHeight="1">
      <c r="A17" s="42">
        <v>1</v>
      </c>
      <c r="B17" s="76" t="s">
        <v>238</v>
      </c>
      <c r="C17" s="73" t="s">
        <v>166</v>
      </c>
      <c r="D17" s="70"/>
      <c r="E17" s="70"/>
      <c r="F17" s="70"/>
      <c r="G17" s="71">
        <f>G18+G52+G66+G140+G86+G59+G133</f>
        <v>264398.28999999998</v>
      </c>
      <c r="H17" s="71">
        <f t="shared" ref="H17:I17" si="0">H18+H52+H66+H140+H86+H59+H133</f>
        <v>201149.94</v>
      </c>
      <c r="I17" s="71">
        <f t="shared" si="0"/>
        <v>113452.69</v>
      </c>
    </row>
    <row r="18" spans="1:11">
      <c r="A18" s="42">
        <v>2</v>
      </c>
      <c r="B18" s="117" t="s">
        <v>88</v>
      </c>
      <c r="C18" s="43" t="s">
        <v>166</v>
      </c>
      <c r="D18" s="43" t="s">
        <v>89</v>
      </c>
      <c r="E18" s="42"/>
      <c r="F18" s="42"/>
      <c r="G18" s="39">
        <f>G19+G43</f>
        <v>14281.39</v>
      </c>
      <c r="H18" s="39">
        <f>H19+H43</f>
        <v>13214.820000000002</v>
      </c>
      <c r="I18" s="39">
        <f>I19+I43</f>
        <v>13213.820000000002</v>
      </c>
    </row>
    <row r="19" spans="1:11" ht="30">
      <c r="A19" s="252">
        <v>3</v>
      </c>
      <c r="B19" s="102" t="s">
        <v>14</v>
      </c>
      <c r="C19" s="43" t="s">
        <v>166</v>
      </c>
      <c r="D19" s="43" t="s">
        <v>95</v>
      </c>
      <c r="E19" s="42"/>
      <c r="F19" s="42"/>
      <c r="G19" s="39">
        <f>G20+G38</f>
        <v>14171.89</v>
      </c>
      <c r="H19" s="39">
        <f t="shared" ref="H19:I19" si="1">H20+H38</f>
        <v>13137.720000000001</v>
      </c>
      <c r="I19" s="39">
        <f t="shared" si="1"/>
        <v>13136.720000000001</v>
      </c>
    </row>
    <row r="20" spans="1:11">
      <c r="A20" s="252">
        <v>4</v>
      </c>
      <c r="B20" s="115" t="s">
        <v>15</v>
      </c>
      <c r="C20" s="43" t="s">
        <v>166</v>
      </c>
      <c r="D20" s="43" t="s">
        <v>95</v>
      </c>
      <c r="E20" s="43" t="s">
        <v>177</v>
      </c>
      <c r="F20" s="42"/>
      <c r="G20" s="39">
        <f>G21</f>
        <v>14170.89</v>
      </c>
      <c r="H20" s="39">
        <f t="shared" ref="H20:I20" si="2">H21</f>
        <v>13136.720000000001</v>
      </c>
      <c r="I20" s="39">
        <f t="shared" si="2"/>
        <v>13136.720000000001</v>
      </c>
    </row>
    <row r="21" spans="1:11">
      <c r="A21" s="252">
        <v>5</v>
      </c>
      <c r="B21" s="115" t="s">
        <v>16</v>
      </c>
      <c r="C21" s="43" t="s">
        <v>166</v>
      </c>
      <c r="D21" s="43" t="s">
        <v>95</v>
      </c>
      <c r="E21" s="43" t="s">
        <v>178</v>
      </c>
      <c r="F21" s="42"/>
      <c r="G21" s="39">
        <f>G22+G29+G35+G32</f>
        <v>14170.89</v>
      </c>
      <c r="H21" s="39">
        <f t="shared" ref="H21:I21" si="3">H22+H29+H35+H32</f>
        <v>13136.720000000001</v>
      </c>
      <c r="I21" s="39">
        <f t="shared" si="3"/>
        <v>13136.720000000001</v>
      </c>
      <c r="J21" s="133"/>
    </row>
    <row r="22" spans="1:11" ht="60">
      <c r="A22" s="252">
        <v>6</v>
      </c>
      <c r="B22" s="101" t="s">
        <v>414</v>
      </c>
      <c r="C22" s="43" t="s">
        <v>166</v>
      </c>
      <c r="D22" s="43" t="s">
        <v>95</v>
      </c>
      <c r="E22" s="43" t="s">
        <v>179</v>
      </c>
      <c r="F22" s="42"/>
      <c r="G22" s="39">
        <f>G23+G25+G27</f>
        <v>11242.76</v>
      </c>
      <c r="H22" s="39">
        <f t="shared" ref="H22:I22" si="4">H23+H25+H27</f>
        <v>10859.470000000001</v>
      </c>
      <c r="I22" s="39">
        <f t="shared" si="4"/>
        <v>10859.470000000001</v>
      </c>
    </row>
    <row r="23" spans="1:11" ht="45">
      <c r="A23" s="252">
        <v>7</v>
      </c>
      <c r="B23" s="102" t="s">
        <v>17</v>
      </c>
      <c r="C23" s="43" t="s">
        <v>166</v>
      </c>
      <c r="D23" s="43" t="s">
        <v>95</v>
      </c>
      <c r="E23" s="43" t="s">
        <v>179</v>
      </c>
      <c r="F23" s="42">
        <v>100</v>
      </c>
      <c r="G23" s="39">
        <f>G24</f>
        <v>9467.4</v>
      </c>
      <c r="H23" s="39">
        <f t="shared" ref="H23:I23" si="5">H24</f>
        <v>9384.11</v>
      </c>
      <c r="I23" s="39">
        <f t="shared" si="5"/>
        <v>9384.11</v>
      </c>
    </row>
    <row r="24" spans="1:11">
      <c r="A24" s="252">
        <v>8</v>
      </c>
      <c r="B24" s="102" t="s">
        <v>18</v>
      </c>
      <c r="C24" s="43" t="s">
        <v>166</v>
      </c>
      <c r="D24" s="43" t="s">
        <v>95</v>
      </c>
      <c r="E24" s="43" t="s">
        <v>179</v>
      </c>
      <c r="F24" s="42">
        <v>120</v>
      </c>
      <c r="G24" s="39">
        <f>9384.11+16.46+226.83-160</f>
        <v>9467.4</v>
      </c>
      <c r="H24" s="39">
        <v>9384.11</v>
      </c>
      <c r="I24" s="39">
        <v>9384.11</v>
      </c>
      <c r="J24" s="240">
        <v>226.83</v>
      </c>
      <c r="K24" s="240">
        <v>-160</v>
      </c>
    </row>
    <row r="25" spans="1:11">
      <c r="A25" s="252">
        <v>9</v>
      </c>
      <c r="B25" s="102" t="s">
        <v>22</v>
      </c>
      <c r="C25" s="43" t="s">
        <v>166</v>
      </c>
      <c r="D25" s="43" t="s">
        <v>95</v>
      </c>
      <c r="E25" s="43" t="s">
        <v>179</v>
      </c>
      <c r="F25" s="42">
        <v>200</v>
      </c>
      <c r="G25" s="39">
        <f>G26</f>
        <v>1770.36</v>
      </c>
      <c r="H25" s="39">
        <f t="shared" ref="H25:I25" si="6">H26</f>
        <v>1475.36</v>
      </c>
      <c r="I25" s="39">
        <f t="shared" si="6"/>
        <v>1475.36</v>
      </c>
    </row>
    <row r="26" spans="1:11">
      <c r="A26" s="252">
        <v>10</v>
      </c>
      <c r="B26" s="102" t="s">
        <v>23</v>
      </c>
      <c r="C26" s="43" t="s">
        <v>166</v>
      </c>
      <c r="D26" s="43" t="s">
        <v>95</v>
      </c>
      <c r="E26" s="43" t="s">
        <v>179</v>
      </c>
      <c r="F26" s="42">
        <v>240</v>
      </c>
      <c r="G26" s="39">
        <f>1975.36-5-200</f>
        <v>1770.36</v>
      </c>
      <c r="H26" s="39">
        <f>1975.36-500</f>
        <v>1475.36</v>
      </c>
      <c r="I26" s="39">
        <f>1975.36-500</f>
        <v>1475.36</v>
      </c>
      <c r="J26" s="240">
        <v>-200</v>
      </c>
    </row>
    <row r="27" spans="1:11">
      <c r="A27" s="252">
        <v>11</v>
      </c>
      <c r="B27" s="101" t="s">
        <v>34</v>
      </c>
      <c r="C27" s="43" t="s">
        <v>166</v>
      </c>
      <c r="D27" s="43" t="s">
        <v>95</v>
      </c>
      <c r="E27" s="43" t="s">
        <v>179</v>
      </c>
      <c r="F27" s="42">
        <v>800</v>
      </c>
      <c r="G27" s="39">
        <f>G28</f>
        <v>5</v>
      </c>
      <c r="H27" s="39">
        <f t="shared" ref="H27:I27" si="7">H28</f>
        <v>0</v>
      </c>
      <c r="I27" s="39">
        <f t="shared" si="7"/>
        <v>0</v>
      </c>
    </row>
    <row r="28" spans="1:11">
      <c r="A28" s="252">
        <v>12</v>
      </c>
      <c r="B28" s="101" t="s">
        <v>83</v>
      </c>
      <c r="C28" s="43" t="s">
        <v>166</v>
      </c>
      <c r="D28" s="43" t="s">
        <v>95</v>
      </c>
      <c r="E28" s="43" t="s">
        <v>179</v>
      </c>
      <c r="F28" s="42">
        <v>850</v>
      </c>
      <c r="G28" s="39">
        <v>5</v>
      </c>
      <c r="H28" s="39">
        <v>0</v>
      </c>
      <c r="I28" s="39">
        <v>0</v>
      </c>
    </row>
    <row r="29" spans="1:11" ht="60">
      <c r="A29" s="252">
        <v>13</v>
      </c>
      <c r="B29" s="101" t="s">
        <v>415</v>
      </c>
      <c r="C29" s="43" t="s">
        <v>166</v>
      </c>
      <c r="D29" s="43" t="s">
        <v>95</v>
      </c>
      <c r="E29" s="43" t="s">
        <v>416</v>
      </c>
      <c r="F29" s="42"/>
      <c r="G29" s="39">
        <f>G30</f>
        <v>1762.25</v>
      </c>
      <c r="H29" s="39">
        <f t="shared" ref="H29:I30" si="8">H30</f>
        <v>2277.25</v>
      </c>
      <c r="I29" s="39">
        <f t="shared" si="8"/>
        <v>2277.25</v>
      </c>
    </row>
    <row r="30" spans="1:11" ht="45">
      <c r="A30" s="252">
        <v>14</v>
      </c>
      <c r="B30" s="102" t="s">
        <v>17</v>
      </c>
      <c r="C30" s="43" t="s">
        <v>166</v>
      </c>
      <c r="D30" s="43" t="s">
        <v>95</v>
      </c>
      <c r="E30" s="43" t="s">
        <v>416</v>
      </c>
      <c r="F30" s="42">
        <v>100</v>
      </c>
      <c r="G30" s="39">
        <f>G31</f>
        <v>1762.25</v>
      </c>
      <c r="H30" s="39">
        <f t="shared" si="8"/>
        <v>2277.25</v>
      </c>
      <c r="I30" s="39">
        <f t="shared" si="8"/>
        <v>2277.25</v>
      </c>
    </row>
    <row r="31" spans="1:11">
      <c r="A31" s="252">
        <v>15</v>
      </c>
      <c r="B31" s="102" t="s">
        <v>18</v>
      </c>
      <c r="C31" s="43" t="s">
        <v>166</v>
      </c>
      <c r="D31" s="43" t="s">
        <v>95</v>
      </c>
      <c r="E31" s="43" t="s">
        <v>416</v>
      </c>
      <c r="F31" s="42">
        <v>120</v>
      </c>
      <c r="G31" s="39">
        <f>2277.25-515</f>
        <v>1762.25</v>
      </c>
      <c r="H31" s="39">
        <v>2277.25</v>
      </c>
      <c r="I31" s="39">
        <v>2277.25</v>
      </c>
      <c r="J31" s="240">
        <v>-515</v>
      </c>
    </row>
    <row r="32" spans="1:11" ht="30">
      <c r="A32" s="252">
        <v>16</v>
      </c>
      <c r="B32" s="195" t="s">
        <v>519</v>
      </c>
      <c r="C32" s="192" t="s">
        <v>166</v>
      </c>
      <c r="D32" s="192" t="s">
        <v>95</v>
      </c>
      <c r="E32" s="192" t="s">
        <v>539</v>
      </c>
      <c r="F32" s="191"/>
      <c r="G32" s="39">
        <f>G33</f>
        <v>1076.24</v>
      </c>
      <c r="H32" s="39">
        <f t="shared" ref="H32:I33" si="9">H33</f>
        <v>0</v>
      </c>
      <c r="I32" s="39">
        <f t="shared" si="9"/>
        <v>0</v>
      </c>
    </row>
    <row r="33" spans="1:12" ht="45">
      <c r="A33" s="252">
        <v>17</v>
      </c>
      <c r="B33" s="195" t="s">
        <v>17</v>
      </c>
      <c r="C33" s="192" t="s">
        <v>166</v>
      </c>
      <c r="D33" s="192" t="s">
        <v>95</v>
      </c>
      <c r="E33" s="192" t="s">
        <v>539</v>
      </c>
      <c r="F33" s="191">
        <v>100</v>
      </c>
      <c r="G33" s="39">
        <f>G34</f>
        <v>1076.24</v>
      </c>
      <c r="H33" s="39">
        <f t="shared" si="9"/>
        <v>0</v>
      </c>
      <c r="I33" s="39">
        <f t="shared" si="9"/>
        <v>0</v>
      </c>
    </row>
    <row r="34" spans="1:12">
      <c r="A34" s="252">
        <v>18</v>
      </c>
      <c r="B34" s="195" t="s">
        <v>18</v>
      </c>
      <c r="C34" s="192" t="s">
        <v>166</v>
      </c>
      <c r="D34" s="192" t="s">
        <v>95</v>
      </c>
      <c r="E34" s="192" t="s">
        <v>539</v>
      </c>
      <c r="F34" s="191">
        <v>120</v>
      </c>
      <c r="G34" s="39">
        <v>1076.24</v>
      </c>
      <c r="H34" s="39">
        <v>0</v>
      </c>
      <c r="I34" s="39">
        <v>0</v>
      </c>
      <c r="J34" s="213">
        <v>1076.24</v>
      </c>
    </row>
    <row r="35" spans="1:12" ht="45">
      <c r="A35" s="252">
        <v>19</v>
      </c>
      <c r="B35" s="101" t="s">
        <v>411</v>
      </c>
      <c r="C35" s="43" t="s">
        <v>166</v>
      </c>
      <c r="D35" s="43" t="s">
        <v>95</v>
      </c>
      <c r="E35" s="43" t="s">
        <v>450</v>
      </c>
      <c r="F35" s="42"/>
      <c r="G35" s="39">
        <f>G36</f>
        <v>89.64</v>
      </c>
      <c r="H35" s="39">
        <f t="shared" ref="H35:I36" si="10">H36</f>
        <v>0</v>
      </c>
      <c r="I35" s="39">
        <f t="shared" si="10"/>
        <v>0</v>
      </c>
    </row>
    <row r="36" spans="1:12" ht="45">
      <c r="A36" s="252">
        <v>20</v>
      </c>
      <c r="B36" s="102" t="s">
        <v>17</v>
      </c>
      <c r="C36" s="43" t="s">
        <v>166</v>
      </c>
      <c r="D36" s="43" t="s">
        <v>95</v>
      </c>
      <c r="E36" s="43" t="s">
        <v>450</v>
      </c>
      <c r="F36" s="42">
        <v>100</v>
      </c>
      <c r="G36" s="39">
        <f>G37</f>
        <v>89.64</v>
      </c>
      <c r="H36" s="39">
        <f t="shared" si="10"/>
        <v>0</v>
      </c>
      <c r="I36" s="39">
        <f t="shared" si="10"/>
        <v>0</v>
      </c>
    </row>
    <row r="37" spans="1:12">
      <c r="A37" s="252">
        <v>21</v>
      </c>
      <c r="B37" s="102" t="s">
        <v>18</v>
      </c>
      <c r="C37" s="43" t="s">
        <v>166</v>
      </c>
      <c r="D37" s="43" t="s">
        <v>95</v>
      </c>
      <c r="E37" s="43" t="s">
        <v>450</v>
      </c>
      <c r="F37" s="42">
        <v>120</v>
      </c>
      <c r="G37" s="39">
        <v>89.64</v>
      </c>
      <c r="H37" s="39">
        <v>0</v>
      </c>
      <c r="I37" s="39">
        <v>0</v>
      </c>
    </row>
    <row r="38" spans="1:12">
      <c r="A38" s="252">
        <v>22</v>
      </c>
      <c r="B38" s="115" t="s">
        <v>25</v>
      </c>
      <c r="C38" s="43" t="s">
        <v>166</v>
      </c>
      <c r="D38" s="43" t="s">
        <v>95</v>
      </c>
      <c r="E38" s="42">
        <v>9200000000</v>
      </c>
      <c r="F38" s="42"/>
      <c r="G38" s="39">
        <f>G39</f>
        <v>1</v>
      </c>
      <c r="H38" s="39">
        <f t="shared" ref="H38:I41" si="11">H39</f>
        <v>1</v>
      </c>
      <c r="I38" s="39">
        <f t="shared" si="11"/>
        <v>0</v>
      </c>
    </row>
    <row r="39" spans="1:12">
      <c r="A39" s="252">
        <v>23</v>
      </c>
      <c r="B39" s="115" t="s">
        <v>276</v>
      </c>
      <c r="C39" s="43" t="s">
        <v>166</v>
      </c>
      <c r="D39" s="43" t="s">
        <v>95</v>
      </c>
      <c r="E39" s="42">
        <v>9210000000</v>
      </c>
      <c r="F39" s="42"/>
      <c r="G39" s="39">
        <f>G40</f>
        <v>1</v>
      </c>
      <c r="H39" s="39">
        <f t="shared" si="11"/>
        <v>1</v>
      </c>
      <c r="I39" s="39">
        <f t="shared" si="11"/>
        <v>0</v>
      </c>
    </row>
    <row r="40" spans="1:12">
      <c r="A40" s="252">
        <v>24</v>
      </c>
      <c r="B40" s="101" t="s">
        <v>455</v>
      </c>
      <c r="C40" s="43" t="s">
        <v>166</v>
      </c>
      <c r="D40" s="43" t="s">
        <v>95</v>
      </c>
      <c r="E40" s="43" t="s">
        <v>456</v>
      </c>
      <c r="F40" s="42"/>
      <c r="G40" s="39">
        <f>G41</f>
        <v>1</v>
      </c>
      <c r="H40" s="39">
        <f t="shared" si="11"/>
        <v>1</v>
      </c>
      <c r="I40" s="39">
        <f t="shared" si="11"/>
        <v>0</v>
      </c>
    </row>
    <row r="41" spans="1:12">
      <c r="A41" s="252">
        <v>25</v>
      </c>
      <c r="B41" s="102" t="s">
        <v>22</v>
      </c>
      <c r="C41" s="43" t="s">
        <v>166</v>
      </c>
      <c r="D41" s="43" t="s">
        <v>95</v>
      </c>
      <c r="E41" s="43" t="s">
        <v>456</v>
      </c>
      <c r="F41" s="42">
        <v>200</v>
      </c>
      <c r="G41" s="39">
        <f>G42</f>
        <v>1</v>
      </c>
      <c r="H41" s="39">
        <f t="shared" si="11"/>
        <v>1</v>
      </c>
      <c r="I41" s="39">
        <f t="shared" si="11"/>
        <v>0</v>
      </c>
    </row>
    <row r="42" spans="1:12">
      <c r="A42" s="252">
        <v>26</v>
      </c>
      <c r="B42" s="102" t="s">
        <v>23</v>
      </c>
      <c r="C42" s="43" t="s">
        <v>166</v>
      </c>
      <c r="D42" s="43" t="s">
        <v>95</v>
      </c>
      <c r="E42" s="43" t="s">
        <v>456</v>
      </c>
      <c r="F42" s="42">
        <v>240</v>
      </c>
      <c r="G42" s="39">
        <v>1</v>
      </c>
      <c r="H42" s="39">
        <v>1</v>
      </c>
      <c r="I42" s="39">
        <v>0</v>
      </c>
    </row>
    <row r="43" spans="1:12">
      <c r="A43" s="252">
        <v>27</v>
      </c>
      <c r="B43" s="101" t="s">
        <v>37</v>
      </c>
      <c r="C43" s="43" t="s">
        <v>166</v>
      </c>
      <c r="D43" s="43" t="s">
        <v>97</v>
      </c>
      <c r="E43" s="42"/>
      <c r="F43" s="42"/>
      <c r="G43" s="39">
        <f>G44</f>
        <v>109.5000000000001</v>
      </c>
      <c r="H43" s="39">
        <f t="shared" ref="H43:I43" si="12">H44</f>
        <v>77.099999999999994</v>
      </c>
      <c r="I43" s="39">
        <f t="shared" si="12"/>
        <v>77.099999999999994</v>
      </c>
    </row>
    <row r="44" spans="1:12">
      <c r="A44" s="252">
        <v>28</v>
      </c>
      <c r="B44" s="115" t="s">
        <v>25</v>
      </c>
      <c r="C44" s="43" t="s">
        <v>166</v>
      </c>
      <c r="D44" s="43" t="s">
        <v>97</v>
      </c>
      <c r="E44" s="42">
        <v>9200000000</v>
      </c>
      <c r="F44" s="42"/>
      <c r="G44" s="39">
        <f>G46+G49</f>
        <v>109.5000000000001</v>
      </c>
      <c r="H44" s="39">
        <f t="shared" ref="H44:I44" si="13">H46</f>
        <v>77.099999999999994</v>
      </c>
      <c r="I44" s="39">
        <f t="shared" si="13"/>
        <v>77.099999999999994</v>
      </c>
    </row>
    <row r="45" spans="1:12">
      <c r="A45" s="252">
        <v>29</v>
      </c>
      <c r="B45" s="115" t="s">
        <v>276</v>
      </c>
      <c r="C45" s="43" t="s">
        <v>166</v>
      </c>
      <c r="D45" s="43" t="s">
        <v>97</v>
      </c>
      <c r="E45" s="42">
        <v>9210000000</v>
      </c>
      <c r="F45" s="42"/>
      <c r="G45" s="39">
        <f>G46</f>
        <v>72.8</v>
      </c>
      <c r="H45" s="39">
        <f t="shared" ref="H45:I46" si="14">H46</f>
        <v>77.099999999999994</v>
      </c>
      <c r="I45" s="39">
        <f t="shared" si="14"/>
        <v>77.099999999999994</v>
      </c>
    </row>
    <row r="46" spans="1:12" ht="45">
      <c r="A46" s="252">
        <v>30</v>
      </c>
      <c r="B46" s="135" t="s">
        <v>476</v>
      </c>
      <c r="C46" s="43" t="s">
        <v>166</v>
      </c>
      <c r="D46" s="43" t="s">
        <v>97</v>
      </c>
      <c r="E46" s="42">
        <v>9210075140</v>
      </c>
      <c r="F46" s="42"/>
      <c r="G46" s="39">
        <f>G47</f>
        <v>72.8</v>
      </c>
      <c r="H46" s="39">
        <f t="shared" si="14"/>
        <v>77.099999999999994</v>
      </c>
      <c r="I46" s="39">
        <f t="shared" si="14"/>
        <v>77.099999999999994</v>
      </c>
    </row>
    <row r="47" spans="1:12">
      <c r="A47" s="252">
        <v>31</v>
      </c>
      <c r="B47" s="102" t="s">
        <v>20</v>
      </c>
      <c r="C47" s="43" t="s">
        <v>166</v>
      </c>
      <c r="D47" s="43" t="s">
        <v>97</v>
      </c>
      <c r="E47" s="42">
        <v>9210075140</v>
      </c>
      <c r="F47" s="42">
        <v>500</v>
      </c>
      <c r="G47" s="39">
        <f>G48</f>
        <v>72.8</v>
      </c>
      <c r="H47" s="39">
        <f t="shared" ref="H47:I47" si="15">H48</f>
        <v>77.099999999999994</v>
      </c>
      <c r="I47" s="39">
        <f t="shared" si="15"/>
        <v>77.099999999999994</v>
      </c>
    </row>
    <row r="48" spans="1:12">
      <c r="A48" s="252">
        <v>32</v>
      </c>
      <c r="B48" s="102" t="s">
        <v>21</v>
      </c>
      <c r="C48" s="43" t="s">
        <v>166</v>
      </c>
      <c r="D48" s="43" t="s">
        <v>97</v>
      </c>
      <c r="E48" s="42">
        <v>9210075140</v>
      </c>
      <c r="F48" s="42">
        <v>530</v>
      </c>
      <c r="G48" s="39">
        <f>66.8+6</f>
        <v>72.8</v>
      </c>
      <c r="H48" s="39">
        <f>66.8+10.3</f>
        <v>77.099999999999994</v>
      </c>
      <c r="I48" s="39">
        <f>66.8+10.3</f>
        <v>77.099999999999994</v>
      </c>
      <c r="J48" s="213">
        <v>6</v>
      </c>
      <c r="K48" s="213">
        <v>10.3</v>
      </c>
      <c r="L48" s="213">
        <v>10.3</v>
      </c>
    </row>
    <row r="49" spans="1:12" ht="30">
      <c r="A49" s="252">
        <v>33</v>
      </c>
      <c r="B49" s="101" t="s">
        <v>477</v>
      </c>
      <c r="C49" s="43" t="s">
        <v>166</v>
      </c>
      <c r="D49" s="43" t="s">
        <v>97</v>
      </c>
      <c r="E49" s="42">
        <v>9210099990</v>
      </c>
      <c r="F49" s="42"/>
      <c r="G49" s="39">
        <f>G50</f>
        <v>36.700000000000102</v>
      </c>
      <c r="H49" s="39">
        <f t="shared" ref="H49:I50" si="16">H50</f>
        <v>0</v>
      </c>
      <c r="I49" s="39">
        <f t="shared" si="16"/>
        <v>0</v>
      </c>
    </row>
    <row r="50" spans="1:12">
      <c r="A50" s="252">
        <v>34</v>
      </c>
      <c r="B50" s="102" t="s">
        <v>34</v>
      </c>
      <c r="C50" s="43" t="s">
        <v>166</v>
      </c>
      <c r="D50" s="43" t="s">
        <v>97</v>
      </c>
      <c r="E50" s="42">
        <v>9210099990</v>
      </c>
      <c r="F50" s="42">
        <v>800</v>
      </c>
      <c r="G50" s="39">
        <f>G51</f>
        <v>36.700000000000102</v>
      </c>
      <c r="H50" s="39">
        <f t="shared" si="16"/>
        <v>0</v>
      </c>
      <c r="I50" s="39">
        <f t="shared" si="16"/>
        <v>0</v>
      </c>
    </row>
    <row r="51" spans="1:12">
      <c r="A51" s="252">
        <v>35</v>
      </c>
      <c r="B51" s="102" t="s">
        <v>35</v>
      </c>
      <c r="C51" s="43" t="s">
        <v>166</v>
      </c>
      <c r="D51" s="43" t="s">
        <v>97</v>
      </c>
      <c r="E51" s="42">
        <v>9210099990</v>
      </c>
      <c r="F51" s="42">
        <v>870</v>
      </c>
      <c r="G51" s="39">
        <f>2000-46.35-35-16.6+10-130-500-1242.41-2.94</f>
        <v>36.700000000000102</v>
      </c>
      <c r="H51" s="39">
        <v>0</v>
      </c>
      <c r="I51" s="39">
        <v>0</v>
      </c>
      <c r="J51" s="110">
        <v>-1245.3499999999999</v>
      </c>
      <c r="K51" s="240"/>
    </row>
    <row r="52" spans="1:12">
      <c r="A52" s="252">
        <v>36</v>
      </c>
      <c r="B52" s="117" t="s">
        <v>98</v>
      </c>
      <c r="C52" s="43" t="s">
        <v>166</v>
      </c>
      <c r="D52" s="43" t="s">
        <v>99</v>
      </c>
      <c r="E52" s="42"/>
      <c r="F52" s="42"/>
      <c r="G52" s="39">
        <f>G53</f>
        <v>1683.7</v>
      </c>
      <c r="H52" s="39">
        <f t="shared" ref="H52:I52" si="17">H53</f>
        <v>1693.8999999999999</v>
      </c>
      <c r="I52" s="39">
        <f t="shared" si="17"/>
        <v>1741.4</v>
      </c>
    </row>
    <row r="53" spans="1:12">
      <c r="A53" s="252">
        <v>37</v>
      </c>
      <c r="B53" s="102" t="s">
        <v>24</v>
      </c>
      <c r="C53" s="43" t="s">
        <v>166</v>
      </c>
      <c r="D53" s="43" t="s">
        <v>100</v>
      </c>
      <c r="E53" s="42"/>
      <c r="F53" s="42"/>
      <c r="G53" s="39">
        <f>G56</f>
        <v>1683.7</v>
      </c>
      <c r="H53" s="39">
        <f t="shared" ref="H53:I53" si="18">H56</f>
        <v>1693.8999999999999</v>
      </c>
      <c r="I53" s="39">
        <f t="shared" si="18"/>
        <v>1741.4</v>
      </c>
    </row>
    <row r="54" spans="1:12">
      <c r="A54" s="252">
        <v>38</v>
      </c>
      <c r="B54" s="102" t="s">
        <v>25</v>
      </c>
      <c r="C54" s="43" t="s">
        <v>166</v>
      </c>
      <c r="D54" s="43" t="s">
        <v>100</v>
      </c>
      <c r="E54" s="42">
        <v>9200000000</v>
      </c>
      <c r="F54" s="42"/>
      <c r="G54" s="39">
        <f>G56</f>
        <v>1683.7</v>
      </c>
      <c r="H54" s="39">
        <f>H56</f>
        <v>1693.8999999999999</v>
      </c>
      <c r="I54" s="39">
        <f>I56</f>
        <v>1741.4</v>
      </c>
    </row>
    <row r="55" spans="1:12">
      <c r="A55" s="252">
        <v>39</v>
      </c>
      <c r="B55" s="115" t="s">
        <v>276</v>
      </c>
      <c r="C55" s="43" t="s">
        <v>166</v>
      </c>
      <c r="D55" s="43" t="s">
        <v>100</v>
      </c>
      <c r="E55" s="42">
        <v>9210000000</v>
      </c>
      <c r="F55" s="42"/>
      <c r="G55" s="39">
        <f>G56</f>
        <v>1683.7</v>
      </c>
      <c r="H55" s="39">
        <f t="shared" ref="H55:I55" si="19">H56</f>
        <v>1693.8999999999999</v>
      </c>
      <c r="I55" s="39">
        <f t="shared" si="19"/>
        <v>1741.4</v>
      </c>
    </row>
    <row r="56" spans="1:12" ht="30">
      <c r="A56" s="252">
        <v>40</v>
      </c>
      <c r="B56" s="102" t="s">
        <v>417</v>
      </c>
      <c r="C56" s="43" t="s">
        <v>166</v>
      </c>
      <c r="D56" s="43" t="s">
        <v>100</v>
      </c>
      <c r="E56" s="42">
        <v>9210051180</v>
      </c>
      <c r="F56" s="42"/>
      <c r="G56" s="39">
        <f>G57</f>
        <v>1683.7</v>
      </c>
      <c r="H56" s="39">
        <f t="shared" ref="H56:I57" si="20">H57</f>
        <v>1693.8999999999999</v>
      </c>
      <c r="I56" s="39">
        <f t="shared" si="20"/>
        <v>1741.4</v>
      </c>
    </row>
    <row r="57" spans="1:12">
      <c r="A57" s="252">
        <v>41</v>
      </c>
      <c r="B57" s="102" t="s">
        <v>20</v>
      </c>
      <c r="C57" s="43" t="s">
        <v>166</v>
      </c>
      <c r="D57" s="43" t="s">
        <v>100</v>
      </c>
      <c r="E57" s="42">
        <v>9210051180</v>
      </c>
      <c r="F57" s="42">
        <v>500</v>
      </c>
      <c r="G57" s="39">
        <f>G58</f>
        <v>1683.7</v>
      </c>
      <c r="H57" s="39">
        <f t="shared" si="20"/>
        <v>1693.8999999999999</v>
      </c>
      <c r="I57" s="39">
        <f t="shared" si="20"/>
        <v>1741.4</v>
      </c>
    </row>
    <row r="58" spans="1:12">
      <c r="A58" s="252">
        <v>42</v>
      </c>
      <c r="B58" s="102" t="s">
        <v>21</v>
      </c>
      <c r="C58" s="43" t="s">
        <v>166</v>
      </c>
      <c r="D58" s="43" t="s">
        <v>100</v>
      </c>
      <c r="E58" s="42">
        <v>9210051180</v>
      </c>
      <c r="F58" s="42">
        <v>530</v>
      </c>
      <c r="G58" s="39">
        <f>1505.5+178.2</f>
        <v>1683.7</v>
      </c>
      <c r="H58" s="39">
        <f>1524.3+169.6</f>
        <v>1693.8999999999999</v>
      </c>
      <c r="I58" s="39">
        <v>1741.4</v>
      </c>
      <c r="J58" s="213">
        <v>178.2</v>
      </c>
      <c r="K58" s="213">
        <v>169.6</v>
      </c>
      <c r="L58" s="213">
        <v>1741.4</v>
      </c>
    </row>
    <row r="59" spans="1:12">
      <c r="A59" s="252">
        <v>43</v>
      </c>
      <c r="B59" s="101" t="s">
        <v>101</v>
      </c>
      <c r="C59" s="43" t="s">
        <v>166</v>
      </c>
      <c r="D59" s="43" t="s">
        <v>102</v>
      </c>
      <c r="E59" s="42"/>
      <c r="F59" s="42"/>
      <c r="G59" s="39">
        <f t="shared" ref="G59:G64" si="21">G60</f>
        <v>981.19</v>
      </c>
      <c r="H59" s="39">
        <f t="shared" ref="H59:I64" si="22">H60</f>
        <v>1373.67</v>
      </c>
      <c r="I59" s="39">
        <f t="shared" si="22"/>
        <v>1373.67</v>
      </c>
    </row>
    <row r="60" spans="1:12">
      <c r="A60" s="252">
        <v>44</v>
      </c>
      <c r="B60" s="101" t="s">
        <v>438</v>
      </c>
      <c r="C60" s="43" t="s">
        <v>166</v>
      </c>
      <c r="D60" s="43" t="s">
        <v>439</v>
      </c>
      <c r="E60" s="42"/>
      <c r="F60" s="42"/>
      <c r="G60" s="39">
        <f t="shared" si="21"/>
        <v>981.19</v>
      </c>
      <c r="H60" s="39">
        <f t="shared" si="22"/>
        <v>1373.67</v>
      </c>
      <c r="I60" s="39">
        <f t="shared" si="22"/>
        <v>1373.67</v>
      </c>
    </row>
    <row r="61" spans="1:12" ht="30">
      <c r="A61" s="252">
        <v>45</v>
      </c>
      <c r="B61" s="115" t="s">
        <v>153</v>
      </c>
      <c r="C61" s="43" t="s">
        <v>166</v>
      </c>
      <c r="D61" s="43" t="s">
        <v>439</v>
      </c>
      <c r="E61" s="43" t="s">
        <v>196</v>
      </c>
      <c r="F61" s="42"/>
      <c r="G61" s="39">
        <f t="shared" si="21"/>
        <v>981.19</v>
      </c>
      <c r="H61" s="39">
        <f t="shared" si="22"/>
        <v>1373.67</v>
      </c>
      <c r="I61" s="39">
        <f t="shared" si="22"/>
        <v>1373.67</v>
      </c>
    </row>
    <row r="62" spans="1:12" ht="30">
      <c r="A62" s="252">
        <v>46</v>
      </c>
      <c r="B62" s="101" t="s">
        <v>317</v>
      </c>
      <c r="C62" s="43" t="s">
        <v>166</v>
      </c>
      <c r="D62" s="43" t="s">
        <v>439</v>
      </c>
      <c r="E62" s="43" t="s">
        <v>197</v>
      </c>
      <c r="F62" s="42"/>
      <c r="G62" s="39">
        <f t="shared" si="21"/>
        <v>981.19</v>
      </c>
      <c r="H62" s="39">
        <f t="shared" si="22"/>
        <v>1373.67</v>
      </c>
      <c r="I62" s="39">
        <f t="shared" si="22"/>
        <v>1373.67</v>
      </c>
    </row>
    <row r="63" spans="1:12" ht="30">
      <c r="A63" s="252">
        <v>47</v>
      </c>
      <c r="B63" s="101" t="s">
        <v>440</v>
      </c>
      <c r="C63" s="43" t="s">
        <v>166</v>
      </c>
      <c r="D63" s="43" t="s">
        <v>439</v>
      </c>
      <c r="E63" s="171" t="s">
        <v>504</v>
      </c>
      <c r="F63" s="42"/>
      <c r="G63" s="39">
        <f t="shared" si="21"/>
        <v>981.19</v>
      </c>
      <c r="H63" s="39">
        <f t="shared" si="22"/>
        <v>1373.67</v>
      </c>
      <c r="I63" s="39">
        <f t="shared" si="22"/>
        <v>1373.67</v>
      </c>
    </row>
    <row r="64" spans="1:12">
      <c r="A64" s="252">
        <v>48</v>
      </c>
      <c r="B64" s="102" t="s">
        <v>20</v>
      </c>
      <c r="C64" s="43" t="s">
        <v>166</v>
      </c>
      <c r="D64" s="43" t="s">
        <v>439</v>
      </c>
      <c r="E64" s="171" t="s">
        <v>504</v>
      </c>
      <c r="F64" s="42">
        <v>500</v>
      </c>
      <c r="G64" s="39">
        <f t="shared" si="21"/>
        <v>981.19</v>
      </c>
      <c r="H64" s="39">
        <f t="shared" si="22"/>
        <v>1373.67</v>
      </c>
      <c r="I64" s="39">
        <f t="shared" si="22"/>
        <v>1373.67</v>
      </c>
    </row>
    <row r="65" spans="1:12">
      <c r="A65" s="252">
        <v>49</v>
      </c>
      <c r="B65" s="101" t="s">
        <v>419</v>
      </c>
      <c r="C65" s="43" t="s">
        <v>166</v>
      </c>
      <c r="D65" s="43" t="s">
        <v>439</v>
      </c>
      <c r="E65" s="171" t="s">
        <v>504</v>
      </c>
      <c r="F65" s="42">
        <v>520</v>
      </c>
      <c r="G65" s="39">
        <f>981+0.19</f>
        <v>981.19</v>
      </c>
      <c r="H65" s="39">
        <f>1373.7-0.03</f>
        <v>1373.67</v>
      </c>
      <c r="I65" s="39">
        <f>1373.7-0.03</f>
        <v>1373.67</v>
      </c>
      <c r="J65" s="213">
        <v>0.19</v>
      </c>
      <c r="K65" s="213">
        <v>-0.03</v>
      </c>
      <c r="L65" s="213">
        <v>-0.03</v>
      </c>
    </row>
    <row r="66" spans="1:12" s="98" customFormat="1">
      <c r="A66" s="252">
        <v>50</v>
      </c>
      <c r="B66" s="117" t="s">
        <v>104</v>
      </c>
      <c r="C66" s="43" t="s">
        <v>166</v>
      </c>
      <c r="D66" s="43" t="s">
        <v>105</v>
      </c>
      <c r="E66" s="42"/>
      <c r="F66" s="42"/>
      <c r="G66" s="39">
        <f>G67+G73</f>
        <v>6586.42</v>
      </c>
      <c r="H66" s="39">
        <f>H67+H73</f>
        <v>5702.37</v>
      </c>
      <c r="I66" s="39">
        <f>I67+I73</f>
        <v>6272.2999999999993</v>
      </c>
      <c r="J66" s="110"/>
      <c r="K66" s="110"/>
      <c r="L66" s="110"/>
    </row>
    <row r="67" spans="1:12" s="98" customFormat="1">
      <c r="A67" s="252">
        <v>51</v>
      </c>
      <c r="B67" s="41" t="s">
        <v>26</v>
      </c>
      <c r="C67" s="43" t="s">
        <v>166</v>
      </c>
      <c r="D67" s="118" t="s">
        <v>107</v>
      </c>
      <c r="E67" s="118"/>
      <c r="F67" s="42"/>
      <c r="G67" s="39">
        <f>G68</f>
        <v>200</v>
      </c>
      <c r="H67" s="39">
        <f t="shared" ref="H67:I69" si="23">H68</f>
        <v>0</v>
      </c>
      <c r="I67" s="39">
        <f t="shared" si="23"/>
        <v>0</v>
      </c>
      <c r="J67" s="110"/>
      <c r="K67" s="110"/>
      <c r="L67" s="110"/>
    </row>
    <row r="68" spans="1:12" s="98" customFormat="1">
      <c r="A68" s="252">
        <v>52</v>
      </c>
      <c r="B68" s="107" t="s">
        <v>304</v>
      </c>
      <c r="C68" s="43" t="s">
        <v>166</v>
      </c>
      <c r="D68" s="118" t="s">
        <v>107</v>
      </c>
      <c r="E68" s="43" t="s">
        <v>187</v>
      </c>
      <c r="F68" s="42"/>
      <c r="G68" s="39">
        <f>G69</f>
        <v>200</v>
      </c>
      <c r="H68" s="39">
        <f t="shared" si="23"/>
        <v>0</v>
      </c>
      <c r="I68" s="39">
        <f t="shared" si="23"/>
        <v>0</v>
      </c>
      <c r="J68" s="110"/>
      <c r="K68" s="110"/>
      <c r="L68" s="110"/>
    </row>
    <row r="69" spans="1:12" s="98" customFormat="1">
      <c r="A69" s="252">
        <v>53</v>
      </c>
      <c r="B69" s="107" t="s">
        <v>41</v>
      </c>
      <c r="C69" s="43" t="s">
        <v>166</v>
      </c>
      <c r="D69" s="118" t="s">
        <v>107</v>
      </c>
      <c r="E69" s="43" t="s">
        <v>316</v>
      </c>
      <c r="F69" s="42"/>
      <c r="G69" s="39">
        <f>G70</f>
        <v>200</v>
      </c>
      <c r="H69" s="39">
        <f t="shared" si="23"/>
        <v>0</v>
      </c>
      <c r="I69" s="39">
        <f t="shared" si="23"/>
        <v>0</v>
      </c>
      <c r="J69" s="110"/>
      <c r="K69" s="110"/>
      <c r="L69" s="110"/>
    </row>
    <row r="70" spans="1:12" s="98" customFormat="1" ht="30">
      <c r="A70" s="252">
        <v>54</v>
      </c>
      <c r="B70" s="41" t="s">
        <v>305</v>
      </c>
      <c r="C70" s="43" t="s">
        <v>166</v>
      </c>
      <c r="D70" s="118" t="s">
        <v>107</v>
      </c>
      <c r="E70" s="43" t="s">
        <v>277</v>
      </c>
      <c r="F70" s="42"/>
      <c r="G70" s="39">
        <f>G71</f>
        <v>200</v>
      </c>
      <c r="H70" s="39">
        <f t="shared" ref="H70:I71" si="24">H71</f>
        <v>0</v>
      </c>
      <c r="I70" s="39">
        <f t="shared" si="24"/>
        <v>0</v>
      </c>
      <c r="J70" s="110"/>
      <c r="K70" s="110"/>
      <c r="L70" s="110"/>
    </row>
    <row r="71" spans="1:12" s="98" customFormat="1">
      <c r="A71" s="252">
        <v>55</v>
      </c>
      <c r="B71" s="102" t="s">
        <v>20</v>
      </c>
      <c r="C71" s="43" t="s">
        <v>166</v>
      </c>
      <c r="D71" s="118" t="s">
        <v>107</v>
      </c>
      <c r="E71" s="43" t="s">
        <v>277</v>
      </c>
      <c r="F71" s="42">
        <v>500</v>
      </c>
      <c r="G71" s="39">
        <f>G72</f>
        <v>200</v>
      </c>
      <c r="H71" s="39">
        <f t="shared" si="24"/>
        <v>0</v>
      </c>
      <c r="I71" s="39">
        <f t="shared" si="24"/>
        <v>0</v>
      </c>
      <c r="J71" s="110"/>
      <c r="K71" s="110"/>
      <c r="L71" s="110"/>
    </row>
    <row r="72" spans="1:12" s="98" customFormat="1">
      <c r="A72" s="252">
        <v>56</v>
      </c>
      <c r="B72" s="102" t="s">
        <v>27</v>
      </c>
      <c r="C72" s="43" t="s">
        <v>166</v>
      </c>
      <c r="D72" s="118" t="s">
        <v>107</v>
      </c>
      <c r="E72" s="43" t="s">
        <v>277</v>
      </c>
      <c r="F72" s="42">
        <v>540</v>
      </c>
      <c r="G72" s="39">
        <v>200</v>
      </c>
      <c r="H72" s="39">
        <v>0</v>
      </c>
      <c r="I72" s="39">
        <v>0</v>
      </c>
      <c r="J72" s="110"/>
      <c r="K72" s="110"/>
      <c r="L72" s="110"/>
    </row>
    <row r="73" spans="1:12" s="98" customFormat="1">
      <c r="A73" s="252">
        <v>57</v>
      </c>
      <c r="B73" s="101" t="s">
        <v>110</v>
      </c>
      <c r="C73" s="43" t="s">
        <v>166</v>
      </c>
      <c r="D73" s="118" t="s">
        <v>111</v>
      </c>
      <c r="E73" s="42"/>
      <c r="F73" s="42"/>
      <c r="G73" s="39">
        <f>G74</f>
        <v>6386.42</v>
      </c>
      <c r="H73" s="39">
        <f t="shared" ref="H73:I84" si="25">H74</f>
        <v>5702.37</v>
      </c>
      <c r="I73" s="39">
        <f t="shared" si="25"/>
        <v>6272.2999999999993</v>
      </c>
      <c r="J73" s="110"/>
      <c r="K73" s="110"/>
      <c r="L73" s="110"/>
    </row>
    <row r="74" spans="1:12" s="98" customFormat="1">
      <c r="A74" s="252">
        <v>58</v>
      </c>
      <c r="B74" s="101" t="s">
        <v>45</v>
      </c>
      <c r="C74" s="43" t="s">
        <v>166</v>
      </c>
      <c r="D74" s="118" t="s">
        <v>111</v>
      </c>
      <c r="E74" s="42">
        <v>1000000000</v>
      </c>
      <c r="F74" s="42"/>
      <c r="G74" s="39">
        <f>G82+G75</f>
        <v>6386.42</v>
      </c>
      <c r="H74" s="39">
        <f t="shared" ref="H74:I74" si="26">H82+H75</f>
        <v>5702.37</v>
      </c>
      <c r="I74" s="39">
        <f t="shared" si="26"/>
        <v>6272.2999999999993</v>
      </c>
      <c r="J74" s="110"/>
      <c r="K74" s="110"/>
      <c r="L74" s="110"/>
    </row>
    <row r="75" spans="1:12" s="98" customFormat="1">
      <c r="A75" s="252">
        <v>59</v>
      </c>
      <c r="B75" s="199" t="s">
        <v>144</v>
      </c>
      <c r="C75" s="192" t="s">
        <v>166</v>
      </c>
      <c r="D75" s="118" t="s">
        <v>111</v>
      </c>
      <c r="E75" s="191">
        <v>1020000000</v>
      </c>
      <c r="F75" s="191"/>
      <c r="G75" s="39">
        <f>G76+G79</f>
        <v>1235.5</v>
      </c>
      <c r="H75" s="39">
        <f t="shared" ref="H75:I75" si="27">H76+H79</f>
        <v>345.4</v>
      </c>
      <c r="I75" s="39">
        <f t="shared" si="27"/>
        <v>345.4</v>
      </c>
      <c r="J75" s="110"/>
      <c r="K75" s="110"/>
      <c r="L75" s="110"/>
    </row>
    <row r="76" spans="1:12" s="98" customFormat="1" ht="60">
      <c r="A76" s="252">
        <v>60</v>
      </c>
      <c r="B76" s="245" t="s">
        <v>540</v>
      </c>
      <c r="C76" s="192" t="s">
        <v>166</v>
      </c>
      <c r="D76" s="118" t="s">
        <v>111</v>
      </c>
      <c r="E76" s="191" t="s">
        <v>541</v>
      </c>
      <c r="F76" s="191"/>
      <c r="G76" s="39">
        <f>G77</f>
        <v>345.4</v>
      </c>
      <c r="H76" s="39">
        <f t="shared" ref="H76:I77" si="28">H77</f>
        <v>345.4</v>
      </c>
      <c r="I76" s="39">
        <f t="shared" si="28"/>
        <v>345.4</v>
      </c>
      <c r="J76" s="110"/>
      <c r="K76" s="110"/>
      <c r="L76" s="110"/>
    </row>
    <row r="77" spans="1:12" s="98" customFormat="1">
      <c r="A77" s="252">
        <v>61</v>
      </c>
      <c r="B77" s="195" t="s">
        <v>20</v>
      </c>
      <c r="C77" s="192" t="s">
        <v>166</v>
      </c>
      <c r="D77" s="118" t="s">
        <v>111</v>
      </c>
      <c r="E77" s="191" t="s">
        <v>541</v>
      </c>
      <c r="F77" s="191">
        <v>500</v>
      </c>
      <c r="G77" s="39">
        <f>G78</f>
        <v>345.4</v>
      </c>
      <c r="H77" s="39">
        <f t="shared" si="28"/>
        <v>345.4</v>
      </c>
      <c r="I77" s="39">
        <f t="shared" si="28"/>
        <v>345.4</v>
      </c>
      <c r="J77" s="110"/>
      <c r="K77" s="110"/>
      <c r="L77" s="110"/>
    </row>
    <row r="78" spans="1:12" s="98" customFormat="1">
      <c r="A78" s="252">
        <v>62</v>
      </c>
      <c r="B78" s="193" t="s">
        <v>419</v>
      </c>
      <c r="C78" s="192" t="s">
        <v>166</v>
      </c>
      <c r="D78" s="118" t="s">
        <v>111</v>
      </c>
      <c r="E78" s="191" t="s">
        <v>541</v>
      </c>
      <c r="F78" s="191">
        <v>520</v>
      </c>
      <c r="G78" s="39">
        <v>345.4</v>
      </c>
      <c r="H78" s="39">
        <v>345.4</v>
      </c>
      <c r="I78" s="39">
        <v>345.4</v>
      </c>
      <c r="J78" s="214">
        <v>345.4</v>
      </c>
      <c r="K78" s="214">
        <v>345.4</v>
      </c>
      <c r="L78" s="214">
        <v>345.4</v>
      </c>
    </row>
    <row r="79" spans="1:12" s="98" customFormat="1" ht="60">
      <c r="A79" s="252">
        <v>63</v>
      </c>
      <c r="B79" s="245" t="s">
        <v>581</v>
      </c>
      <c r="C79" s="244" t="s">
        <v>166</v>
      </c>
      <c r="D79" s="118" t="s">
        <v>111</v>
      </c>
      <c r="E79" s="243" t="s">
        <v>582</v>
      </c>
      <c r="F79" s="243"/>
      <c r="G79" s="39">
        <f>G80</f>
        <v>890.1</v>
      </c>
      <c r="H79" s="39">
        <f t="shared" ref="H79:I80" si="29">H80</f>
        <v>0</v>
      </c>
      <c r="I79" s="39">
        <f t="shared" si="29"/>
        <v>0</v>
      </c>
      <c r="J79" s="249"/>
      <c r="K79" s="249"/>
      <c r="L79" s="249"/>
    </row>
    <row r="80" spans="1:12" s="98" customFormat="1">
      <c r="A80" s="252">
        <v>64</v>
      </c>
      <c r="B80" s="247" t="s">
        <v>20</v>
      </c>
      <c r="C80" s="244" t="s">
        <v>166</v>
      </c>
      <c r="D80" s="118" t="s">
        <v>111</v>
      </c>
      <c r="E80" s="243" t="s">
        <v>582</v>
      </c>
      <c r="F80" s="243">
        <v>500</v>
      </c>
      <c r="G80" s="39">
        <f>G81</f>
        <v>890.1</v>
      </c>
      <c r="H80" s="39">
        <f t="shared" si="29"/>
        <v>0</v>
      </c>
      <c r="I80" s="39">
        <f t="shared" si="29"/>
        <v>0</v>
      </c>
      <c r="J80" s="249"/>
      <c r="K80" s="249"/>
      <c r="L80" s="249"/>
    </row>
    <row r="81" spans="1:12" s="98" customFormat="1">
      <c r="A81" s="252">
        <v>65</v>
      </c>
      <c r="B81" s="245" t="s">
        <v>419</v>
      </c>
      <c r="C81" s="244" t="s">
        <v>166</v>
      </c>
      <c r="D81" s="118" t="s">
        <v>111</v>
      </c>
      <c r="E81" s="243" t="s">
        <v>582</v>
      </c>
      <c r="F81" s="243">
        <v>520</v>
      </c>
      <c r="G81" s="39">
        <v>890.1</v>
      </c>
      <c r="H81" s="39">
        <v>0</v>
      </c>
      <c r="I81" s="39">
        <v>0</v>
      </c>
      <c r="J81" s="249">
        <v>890.1</v>
      </c>
      <c r="K81" s="249"/>
      <c r="L81" s="249"/>
    </row>
    <row r="82" spans="1:12" s="98" customFormat="1">
      <c r="A82" s="252">
        <v>66</v>
      </c>
      <c r="B82" s="101" t="s">
        <v>269</v>
      </c>
      <c r="C82" s="43" t="s">
        <v>166</v>
      </c>
      <c r="D82" s="118" t="s">
        <v>111</v>
      </c>
      <c r="E82" s="42">
        <v>1040000000</v>
      </c>
      <c r="F82" s="42"/>
      <c r="G82" s="39">
        <f>G83</f>
        <v>5150.92</v>
      </c>
      <c r="H82" s="39">
        <f t="shared" si="25"/>
        <v>5356.97</v>
      </c>
      <c r="I82" s="39">
        <f t="shared" si="25"/>
        <v>5926.9</v>
      </c>
      <c r="J82" s="110"/>
      <c r="K82" s="110"/>
      <c r="L82" s="110"/>
    </row>
    <row r="83" spans="1:12" s="98" customFormat="1" ht="60">
      <c r="A83" s="252">
        <v>67</v>
      </c>
      <c r="B83" s="101" t="s">
        <v>418</v>
      </c>
      <c r="C83" s="43" t="s">
        <v>166</v>
      </c>
      <c r="D83" s="118" t="s">
        <v>111</v>
      </c>
      <c r="E83" s="172" t="s">
        <v>283</v>
      </c>
      <c r="F83" s="42"/>
      <c r="G83" s="39">
        <f>G84</f>
        <v>5150.92</v>
      </c>
      <c r="H83" s="39">
        <f t="shared" si="25"/>
        <v>5356.97</v>
      </c>
      <c r="I83" s="39">
        <f t="shared" si="25"/>
        <v>5926.9</v>
      </c>
      <c r="J83" s="110"/>
      <c r="K83" s="110"/>
      <c r="L83" s="110"/>
    </row>
    <row r="84" spans="1:12" s="98" customFormat="1">
      <c r="A84" s="252">
        <v>68</v>
      </c>
      <c r="B84" s="102" t="s">
        <v>20</v>
      </c>
      <c r="C84" s="43" t="s">
        <v>166</v>
      </c>
      <c r="D84" s="118" t="s">
        <v>111</v>
      </c>
      <c r="E84" s="172" t="s">
        <v>283</v>
      </c>
      <c r="F84" s="42">
        <v>500</v>
      </c>
      <c r="G84" s="39">
        <f>G85</f>
        <v>5150.92</v>
      </c>
      <c r="H84" s="39">
        <f t="shared" si="25"/>
        <v>5356.97</v>
      </c>
      <c r="I84" s="39">
        <f t="shared" si="25"/>
        <v>5926.9</v>
      </c>
      <c r="J84" s="110"/>
      <c r="K84" s="110"/>
      <c r="L84" s="110"/>
    </row>
    <row r="85" spans="1:12" s="98" customFormat="1">
      <c r="A85" s="252">
        <v>69</v>
      </c>
      <c r="B85" s="101" t="s">
        <v>419</v>
      </c>
      <c r="C85" s="43" t="s">
        <v>166</v>
      </c>
      <c r="D85" s="118" t="s">
        <v>111</v>
      </c>
      <c r="E85" s="172" t="s">
        <v>283</v>
      </c>
      <c r="F85" s="42">
        <v>520</v>
      </c>
      <c r="G85" s="39">
        <v>5150.92</v>
      </c>
      <c r="H85" s="39">
        <f>5351.8+5.17</f>
        <v>5356.97</v>
      </c>
      <c r="I85" s="39">
        <v>5926.9</v>
      </c>
      <c r="J85" s="213">
        <v>0</v>
      </c>
      <c r="K85" s="213">
        <v>5.17</v>
      </c>
      <c r="L85" s="213">
        <v>5926.9</v>
      </c>
    </row>
    <row r="86" spans="1:12" s="98" customFormat="1">
      <c r="A86" s="252">
        <v>70</v>
      </c>
      <c r="B86" s="101" t="s">
        <v>113</v>
      </c>
      <c r="C86" s="43" t="s">
        <v>166</v>
      </c>
      <c r="D86" s="118" t="s">
        <v>114</v>
      </c>
      <c r="E86" s="42"/>
      <c r="F86" s="42"/>
      <c r="G86" s="39">
        <f>G102+G87+G117+G97</f>
        <v>138938.04999999999</v>
      </c>
      <c r="H86" s="39">
        <f t="shared" ref="H86:I86" si="30">H102+H87+H117+H97</f>
        <v>88313.68</v>
      </c>
      <c r="I86" s="39">
        <f t="shared" si="30"/>
        <v>0</v>
      </c>
      <c r="J86" s="110"/>
      <c r="K86" s="110"/>
      <c r="L86" s="110"/>
    </row>
    <row r="87" spans="1:12" s="98" customFormat="1">
      <c r="A87" s="252">
        <v>71</v>
      </c>
      <c r="B87" s="101" t="s">
        <v>422</v>
      </c>
      <c r="C87" s="43" t="s">
        <v>166</v>
      </c>
      <c r="D87" s="118" t="s">
        <v>423</v>
      </c>
      <c r="E87" s="42"/>
      <c r="F87" s="42"/>
      <c r="G87" s="39">
        <f>G88</f>
        <v>126785.31999999999</v>
      </c>
      <c r="H87" s="39">
        <f t="shared" ref="H87:I87" si="31">H88</f>
        <v>88313.68</v>
      </c>
      <c r="I87" s="39">
        <f t="shared" si="31"/>
        <v>0</v>
      </c>
      <c r="J87" s="110"/>
      <c r="K87" s="110"/>
      <c r="L87" s="110"/>
    </row>
    <row r="88" spans="1:12" s="98" customFormat="1" ht="30">
      <c r="A88" s="252">
        <v>72</v>
      </c>
      <c r="B88" s="101" t="s">
        <v>259</v>
      </c>
      <c r="C88" s="43" t="s">
        <v>166</v>
      </c>
      <c r="D88" s="118" t="s">
        <v>423</v>
      </c>
      <c r="E88" s="42">
        <v>1100000000</v>
      </c>
      <c r="F88" s="42"/>
      <c r="G88" s="39">
        <f>G89</f>
        <v>126785.31999999999</v>
      </c>
      <c r="H88" s="39">
        <f t="shared" ref="H88:I88" si="32">H89</f>
        <v>88313.68</v>
      </c>
      <c r="I88" s="39">
        <f t="shared" si="32"/>
        <v>0</v>
      </c>
      <c r="J88" s="110"/>
      <c r="K88" s="110"/>
      <c r="L88" s="110"/>
    </row>
    <row r="89" spans="1:12" s="98" customFormat="1">
      <c r="A89" s="252">
        <v>73</v>
      </c>
      <c r="B89" s="101" t="s">
        <v>145</v>
      </c>
      <c r="C89" s="43" t="s">
        <v>166</v>
      </c>
      <c r="D89" s="118" t="s">
        <v>423</v>
      </c>
      <c r="E89" s="42">
        <v>1110000000</v>
      </c>
      <c r="F89" s="42"/>
      <c r="G89" s="39">
        <f>G90+G93</f>
        <v>126785.31999999999</v>
      </c>
      <c r="H89" s="39">
        <f>H90+H93</f>
        <v>88313.68</v>
      </c>
      <c r="I89" s="39">
        <f t="shared" ref="I89" si="33">I90+I93</f>
        <v>0</v>
      </c>
      <c r="J89" s="110"/>
      <c r="K89" s="110"/>
      <c r="L89" s="110"/>
    </row>
    <row r="90" spans="1:12" s="98" customFormat="1" ht="75">
      <c r="A90" s="252">
        <v>74</v>
      </c>
      <c r="B90" s="101" t="s">
        <v>424</v>
      </c>
      <c r="C90" s="43" t="s">
        <v>166</v>
      </c>
      <c r="D90" s="118" t="s">
        <v>423</v>
      </c>
      <c r="E90" s="42" t="s">
        <v>425</v>
      </c>
      <c r="F90" s="42"/>
      <c r="G90" s="39">
        <f>G91</f>
        <v>86830.39</v>
      </c>
      <c r="H90" s="39">
        <f t="shared" ref="H90:I91" si="34">H91</f>
        <v>60289.279999999999</v>
      </c>
      <c r="I90" s="39">
        <f t="shared" si="34"/>
        <v>0</v>
      </c>
      <c r="J90" s="110"/>
      <c r="K90" s="110"/>
      <c r="L90" s="110"/>
    </row>
    <row r="91" spans="1:12" s="98" customFormat="1">
      <c r="A91" s="252">
        <v>75</v>
      </c>
      <c r="B91" s="102" t="s">
        <v>20</v>
      </c>
      <c r="C91" s="43" t="s">
        <v>166</v>
      </c>
      <c r="D91" s="118" t="s">
        <v>423</v>
      </c>
      <c r="E91" s="42" t="s">
        <v>425</v>
      </c>
      <c r="F91" s="42">
        <v>500</v>
      </c>
      <c r="G91" s="39">
        <f>G92</f>
        <v>86830.39</v>
      </c>
      <c r="H91" s="39">
        <f t="shared" si="34"/>
        <v>60289.279999999999</v>
      </c>
      <c r="I91" s="39">
        <f t="shared" si="34"/>
        <v>0</v>
      </c>
      <c r="J91" s="110"/>
      <c r="K91" s="110"/>
      <c r="L91" s="110"/>
    </row>
    <row r="92" spans="1:12" s="98" customFormat="1">
      <c r="A92" s="252">
        <v>76</v>
      </c>
      <c r="B92" s="101" t="s">
        <v>419</v>
      </c>
      <c r="C92" s="43" t="s">
        <v>166</v>
      </c>
      <c r="D92" s="118" t="s">
        <v>423</v>
      </c>
      <c r="E92" s="42" t="s">
        <v>425</v>
      </c>
      <c r="F92" s="42">
        <v>520</v>
      </c>
      <c r="G92" s="39">
        <f>92498.9-5668.51</f>
        <v>86830.39</v>
      </c>
      <c r="H92" s="39">
        <f>64878.62-4589.34</f>
        <v>60289.279999999999</v>
      </c>
      <c r="I92" s="39">
        <v>0</v>
      </c>
      <c r="J92" s="213">
        <v>-5668.51</v>
      </c>
      <c r="K92" s="213">
        <v>-4589.34</v>
      </c>
      <c r="L92" s="110"/>
    </row>
    <row r="93" spans="1:12" s="98" customFormat="1" ht="60">
      <c r="A93" s="252">
        <v>77</v>
      </c>
      <c r="B93" s="101" t="s">
        <v>426</v>
      </c>
      <c r="C93" s="43" t="s">
        <v>166</v>
      </c>
      <c r="D93" s="118" t="s">
        <v>423</v>
      </c>
      <c r="E93" s="42" t="s">
        <v>427</v>
      </c>
      <c r="F93" s="42"/>
      <c r="G93" s="39">
        <f>G94</f>
        <v>39954.929999999993</v>
      </c>
      <c r="H93" s="39">
        <f t="shared" ref="H93:I94" si="35">H94</f>
        <v>28024.400000000001</v>
      </c>
      <c r="I93" s="39">
        <f t="shared" si="35"/>
        <v>0</v>
      </c>
      <c r="J93" s="110"/>
      <c r="K93" s="110"/>
      <c r="L93" s="110"/>
    </row>
    <row r="94" spans="1:12" s="98" customFormat="1">
      <c r="A94" s="252">
        <v>78</v>
      </c>
      <c r="B94" s="102" t="s">
        <v>20</v>
      </c>
      <c r="C94" s="43" t="s">
        <v>166</v>
      </c>
      <c r="D94" s="118" t="s">
        <v>423</v>
      </c>
      <c r="E94" s="42" t="s">
        <v>427</v>
      </c>
      <c r="F94" s="42">
        <v>500</v>
      </c>
      <c r="G94" s="39">
        <f>G95</f>
        <v>39954.929999999993</v>
      </c>
      <c r="H94" s="39">
        <f t="shared" si="35"/>
        <v>28024.400000000001</v>
      </c>
      <c r="I94" s="39">
        <f t="shared" si="35"/>
        <v>0</v>
      </c>
      <c r="J94" s="110"/>
      <c r="K94" s="110"/>
      <c r="L94" s="110"/>
    </row>
    <row r="95" spans="1:12" s="98" customFormat="1">
      <c r="A95" s="252">
        <v>79</v>
      </c>
      <c r="B95" s="101" t="s">
        <v>419</v>
      </c>
      <c r="C95" s="43" t="s">
        <v>166</v>
      </c>
      <c r="D95" s="118" t="s">
        <v>423</v>
      </c>
      <c r="E95" s="42" t="s">
        <v>427</v>
      </c>
      <c r="F95" s="42">
        <v>520</v>
      </c>
      <c r="G95" s="39">
        <f>32812.77+7142.16</f>
        <v>39954.929999999993</v>
      </c>
      <c r="H95" s="39">
        <f>23014.91+5009.49</f>
        <v>28024.400000000001</v>
      </c>
      <c r="I95" s="39">
        <v>0</v>
      </c>
      <c r="J95" s="213">
        <v>7142.16</v>
      </c>
      <c r="K95" s="213">
        <v>5009.49</v>
      </c>
      <c r="L95" s="110"/>
    </row>
    <row r="96" spans="1:12" s="98" customFormat="1">
      <c r="A96" s="252">
        <v>80</v>
      </c>
      <c r="B96" s="162" t="s">
        <v>115</v>
      </c>
      <c r="C96" s="160" t="s">
        <v>166</v>
      </c>
      <c r="D96" s="118" t="s">
        <v>116</v>
      </c>
      <c r="E96" s="159"/>
      <c r="F96" s="159"/>
      <c r="G96" s="39">
        <f>G97</f>
        <v>0</v>
      </c>
      <c r="H96" s="39"/>
      <c r="I96" s="39"/>
      <c r="J96" s="110"/>
      <c r="K96" s="110"/>
      <c r="L96" s="110"/>
    </row>
    <row r="97" spans="1:12" s="98" customFormat="1" ht="30">
      <c r="A97" s="252">
        <v>81</v>
      </c>
      <c r="B97" s="162" t="s">
        <v>491</v>
      </c>
      <c r="C97" s="160" t="s">
        <v>166</v>
      </c>
      <c r="D97" s="118" t="s">
        <v>116</v>
      </c>
      <c r="E97" s="160" t="s">
        <v>180</v>
      </c>
      <c r="F97" s="159"/>
      <c r="G97" s="39">
        <f>G98</f>
        <v>0</v>
      </c>
      <c r="H97" s="39"/>
      <c r="I97" s="39"/>
      <c r="J97" s="110"/>
      <c r="K97" s="110"/>
      <c r="L97" s="110"/>
    </row>
    <row r="98" spans="1:12" s="98" customFormat="1" ht="30">
      <c r="A98" s="252">
        <v>82</v>
      </c>
      <c r="B98" s="162" t="s">
        <v>493</v>
      </c>
      <c r="C98" s="160" t="s">
        <v>166</v>
      </c>
      <c r="D98" s="118" t="s">
        <v>116</v>
      </c>
      <c r="E98" s="160" t="s">
        <v>182</v>
      </c>
      <c r="F98" s="159"/>
      <c r="G98" s="39">
        <f>G99</f>
        <v>0</v>
      </c>
      <c r="H98" s="39"/>
      <c r="I98" s="39"/>
      <c r="J98" s="110"/>
      <c r="K98" s="110"/>
      <c r="L98" s="110"/>
    </row>
    <row r="99" spans="1:12" s="98" customFormat="1" ht="30">
      <c r="A99" s="252">
        <v>83</v>
      </c>
      <c r="B99" s="162" t="s">
        <v>495</v>
      </c>
      <c r="C99" s="160" t="s">
        <v>166</v>
      </c>
      <c r="D99" s="118" t="s">
        <v>116</v>
      </c>
      <c r="E99" s="160" t="s">
        <v>496</v>
      </c>
      <c r="F99" s="159"/>
      <c r="G99" s="39">
        <f>G100</f>
        <v>0</v>
      </c>
      <c r="H99" s="39"/>
      <c r="I99" s="39"/>
      <c r="J99" s="110"/>
      <c r="K99" s="110"/>
      <c r="L99" s="110"/>
    </row>
    <row r="100" spans="1:12" s="98" customFormat="1">
      <c r="A100" s="252">
        <v>84</v>
      </c>
      <c r="B100" s="161" t="s">
        <v>20</v>
      </c>
      <c r="C100" s="160" t="s">
        <v>166</v>
      </c>
      <c r="D100" s="118" t="s">
        <v>116</v>
      </c>
      <c r="E100" s="160" t="s">
        <v>496</v>
      </c>
      <c r="F100" s="159">
        <v>500</v>
      </c>
      <c r="G100" s="39">
        <f>G101</f>
        <v>0</v>
      </c>
      <c r="H100" s="39"/>
      <c r="I100" s="39"/>
      <c r="J100" s="110"/>
      <c r="K100" s="110"/>
      <c r="L100" s="110"/>
    </row>
    <row r="101" spans="1:12" s="98" customFormat="1">
      <c r="A101" s="252">
        <v>85</v>
      </c>
      <c r="B101" s="162" t="s">
        <v>419</v>
      </c>
      <c r="C101" s="160" t="s">
        <v>166</v>
      </c>
      <c r="D101" s="118" t="s">
        <v>116</v>
      </c>
      <c r="E101" s="160" t="s">
        <v>496</v>
      </c>
      <c r="F101" s="159">
        <v>520</v>
      </c>
      <c r="G101" s="39">
        <f>813-813</f>
        <v>0</v>
      </c>
      <c r="H101" s="39">
        <v>0</v>
      </c>
      <c r="I101" s="39">
        <v>0</v>
      </c>
      <c r="J101" s="240">
        <v>-813</v>
      </c>
      <c r="K101" s="110"/>
      <c r="L101" s="110"/>
    </row>
    <row r="102" spans="1:12" s="98" customFormat="1">
      <c r="A102" s="252">
        <v>86</v>
      </c>
      <c r="B102" s="101" t="s">
        <v>311</v>
      </c>
      <c r="C102" s="43" t="s">
        <v>166</v>
      </c>
      <c r="D102" s="118" t="s">
        <v>312</v>
      </c>
      <c r="E102" s="42"/>
      <c r="F102" s="42"/>
      <c r="G102" s="39">
        <f t="shared" ref="G102:I114" si="36">G103</f>
        <v>3022.73</v>
      </c>
      <c r="H102" s="39">
        <f t="shared" si="36"/>
        <v>0</v>
      </c>
      <c r="I102" s="39">
        <f t="shared" si="36"/>
        <v>0</v>
      </c>
      <c r="J102" s="110"/>
      <c r="K102" s="110"/>
      <c r="L102" s="110"/>
    </row>
    <row r="103" spans="1:12" s="98" customFormat="1">
      <c r="A103" s="252">
        <v>87</v>
      </c>
      <c r="B103" s="101" t="s">
        <v>335</v>
      </c>
      <c r="C103" s="43" t="s">
        <v>166</v>
      </c>
      <c r="D103" s="118" t="s">
        <v>312</v>
      </c>
      <c r="E103" s="43" t="s">
        <v>187</v>
      </c>
      <c r="F103" s="42"/>
      <c r="G103" s="39">
        <f t="shared" si="36"/>
        <v>3022.73</v>
      </c>
      <c r="H103" s="39">
        <f t="shared" si="36"/>
        <v>0</v>
      </c>
      <c r="I103" s="39">
        <f t="shared" si="36"/>
        <v>0</v>
      </c>
      <c r="J103" s="110"/>
      <c r="K103" s="110"/>
      <c r="L103" s="110"/>
    </row>
    <row r="104" spans="1:12" s="98" customFormat="1">
      <c r="A104" s="252">
        <v>88</v>
      </c>
      <c r="B104" s="101" t="s">
        <v>313</v>
      </c>
      <c r="C104" s="43" t="s">
        <v>166</v>
      </c>
      <c r="D104" s="118" t="s">
        <v>312</v>
      </c>
      <c r="E104" s="43" t="s">
        <v>202</v>
      </c>
      <c r="F104" s="42"/>
      <c r="G104" s="39">
        <f>G114+G105+G108+G111</f>
        <v>3022.73</v>
      </c>
      <c r="H104" s="39">
        <f t="shared" ref="H104:I104" si="37">H114+H105+H108+H111</f>
        <v>0</v>
      </c>
      <c r="I104" s="39">
        <f t="shared" si="37"/>
        <v>0</v>
      </c>
      <c r="J104" s="110"/>
      <c r="K104" s="110"/>
      <c r="L104" s="110"/>
    </row>
    <row r="105" spans="1:12" s="98" customFormat="1" ht="45">
      <c r="A105" s="252">
        <v>89</v>
      </c>
      <c r="B105" s="193" t="s">
        <v>542</v>
      </c>
      <c r="C105" s="192" t="s">
        <v>166</v>
      </c>
      <c r="D105" s="118" t="s">
        <v>312</v>
      </c>
      <c r="E105" s="192" t="s">
        <v>543</v>
      </c>
      <c r="F105" s="191"/>
      <c r="G105" s="39">
        <f>G106</f>
        <v>1000</v>
      </c>
      <c r="H105" s="39">
        <f t="shared" ref="H105:I106" si="38">H106</f>
        <v>0</v>
      </c>
      <c r="I105" s="39">
        <f t="shared" si="38"/>
        <v>0</v>
      </c>
      <c r="J105" s="110"/>
      <c r="K105" s="110"/>
      <c r="L105" s="110"/>
    </row>
    <row r="106" spans="1:12" s="98" customFormat="1">
      <c r="A106" s="252">
        <v>90</v>
      </c>
      <c r="B106" s="195" t="s">
        <v>20</v>
      </c>
      <c r="C106" s="192" t="s">
        <v>166</v>
      </c>
      <c r="D106" s="118" t="s">
        <v>312</v>
      </c>
      <c r="E106" s="192" t="s">
        <v>543</v>
      </c>
      <c r="F106" s="191">
        <v>500</v>
      </c>
      <c r="G106" s="39">
        <f>G107</f>
        <v>1000</v>
      </c>
      <c r="H106" s="39">
        <f t="shared" si="38"/>
        <v>0</v>
      </c>
      <c r="I106" s="39">
        <f t="shared" si="38"/>
        <v>0</v>
      </c>
      <c r="J106" s="110"/>
      <c r="K106" s="110"/>
      <c r="L106" s="110"/>
    </row>
    <row r="107" spans="1:12" s="98" customFormat="1">
      <c r="A107" s="252">
        <v>91</v>
      </c>
      <c r="B107" s="193" t="s">
        <v>419</v>
      </c>
      <c r="C107" s="192" t="s">
        <v>166</v>
      </c>
      <c r="D107" s="118" t="s">
        <v>312</v>
      </c>
      <c r="E107" s="192" t="s">
        <v>543</v>
      </c>
      <c r="F107" s="191">
        <v>520</v>
      </c>
      <c r="G107" s="39">
        <v>1000</v>
      </c>
      <c r="H107" s="39">
        <v>0</v>
      </c>
      <c r="I107" s="39">
        <v>0</v>
      </c>
      <c r="J107" s="213">
        <v>1000</v>
      </c>
      <c r="K107" s="110"/>
      <c r="L107" s="110"/>
    </row>
    <row r="108" spans="1:12" s="98" customFormat="1" ht="60">
      <c r="A108" s="252">
        <v>92</v>
      </c>
      <c r="B108" s="193" t="s">
        <v>544</v>
      </c>
      <c r="C108" s="192" t="s">
        <v>166</v>
      </c>
      <c r="D108" s="118" t="s">
        <v>312</v>
      </c>
      <c r="E108" s="192" t="s">
        <v>545</v>
      </c>
      <c r="F108" s="191"/>
      <c r="G108" s="39">
        <f>G109</f>
        <v>1772.73</v>
      </c>
      <c r="H108" s="39">
        <f t="shared" ref="H108:I109" si="39">H109</f>
        <v>0</v>
      </c>
      <c r="I108" s="39">
        <f t="shared" si="39"/>
        <v>0</v>
      </c>
      <c r="J108" s="213"/>
      <c r="K108" s="110"/>
      <c r="L108" s="110"/>
    </row>
    <row r="109" spans="1:12" s="98" customFormat="1">
      <c r="A109" s="252">
        <v>93</v>
      </c>
      <c r="B109" s="195" t="s">
        <v>20</v>
      </c>
      <c r="C109" s="192" t="s">
        <v>166</v>
      </c>
      <c r="D109" s="118" t="s">
        <v>312</v>
      </c>
      <c r="E109" s="192" t="s">
        <v>545</v>
      </c>
      <c r="F109" s="191">
        <v>500</v>
      </c>
      <c r="G109" s="39">
        <f>G110</f>
        <v>1772.73</v>
      </c>
      <c r="H109" s="39">
        <f t="shared" si="39"/>
        <v>0</v>
      </c>
      <c r="I109" s="39">
        <f t="shared" si="39"/>
        <v>0</v>
      </c>
      <c r="J109" s="213"/>
      <c r="K109" s="110"/>
      <c r="L109" s="110"/>
    </row>
    <row r="110" spans="1:12" s="98" customFormat="1">
      <c r="A110" s="252">
        <v>94</v>
      </c>
      <c r="B110" s="193" t="s">
        <v>419</v>
      </c>
      <c r="C110" s="192" t="s">
        <v>166</v>
      </c>
      <c r="D110" s="118" t="s">
        <v>312</v>
      </c>
      <c r="E110" s="192" t="s">
        <v>545</v>
      </c>
      <c r="F110" s="191">
        <v>520</v>
      </c>
      <c r="G110" s="39">
        <v>1772.73</v>
      </c>
      <c r="H110" s="39">
        <v>0</v>
      </c>
      <c r="I110" s="39">
        <v>0</v>
      </c>
      <c r="J110" s="213">
        <v>1772.73</v>
      </c>
      <c r="K110" s="110"/>
      <c r="L110" s="110"/>
    </row>
    <row r="111" spans="1:12" s="98" customFormat="1" ht="45">
      <c r="A111" s="252">
        <v>95</v>
      </c>
      <c r="B111" s="193" t="s">
        <v>546</v>
      </c>
      <c r="C111" s="192" t="s">
        <v>166</v>
      </c>
      <c r="D111" s="118" t="s">
        <v>312</v>
      </c>
      <c r="E111" s="192" t="s">
        <v>547</v>
      </c>
      <c r="F111" s="191"/>
      <c r="G111" s="39">
        <f>G112</f>
        <v>250</v>
      </c>
      <c r="H111" s="39">
        <f t="shared" ref="H111:I112" si="40">H112</f>
        <v>0</v>
      </c>
      <c r="I111" s="39">
        <f t="shared" si="40"/>
        <v>0</v>
      </c>
      <c r="J111" s="213"/>
      <c r="K111" s="110"/>
      <c r="L111" s="110"/>
    </row>
    <row r="112" spans="1:12" s="98" customFormat="1">
      <c r="A112" s="252">
        <v>96</v>
      </c>
      <c r="B112" s="195" t="s">
        <v>20</v>
      </c>
      <c r="C112" s="192" t="s">
        <v>166</v>
      </c>
      <c r="D112" s="118" t="s">
        <v>312</v>
      </c>
      <c r="E112" s="192" t="s">
        <v>547</v>
      </c>
      <c r="F112" s="191">
        <v>500</v>
      </c>
      <c r="G112" s="39">
        <f>G113</f>
        <v>250</v>
      </c>
      <c r="H112" s="39">
        <f t="shared" si="40"/>
        <v>0</v>
      </c>
      <c r="I112" s="39">
        <f t="shared" si="40"/>
        <v>0</v>
      </c>
      <c r="J112" s="213"/>
      <c r="K112" s="110"/>
      <c r="L112" s="110"/>
    </row>
    <row r="113" spans="1:12" s="98" customFormat="1">
      <c r="A113" s="252">
        <v>97</v>
      </c>
      <c r="B113" s="193" t="s">
        <v>419</v>
      </c>
      <c r="C113" s="192" t="s">
        <v>166</v>
      </c>
      <c r="D113" s="118" t="s">
        <v>312</v>
      </c>
      <c r="E113" s="192" t="s">
        <v>547</v>
      </c>
      <c r="F113" s="191">
        <v>520</v>
      </c>
      <c r="G113" s="39">
        <v>250</v>
      </c>
      <c r="H113" s="39">
        <v>0</v>
      </c>
      <c r="I113" s="39">
        <v>0</v>
      </c>
      <c r="J113" s="213">
        <v>250</v>
      </c>
      <c r="K113" s="110"/>
      <c r="L113" s="110"/>
    </row>
    <row r="114" spans="1:12" s="98" customFormat="1" ht="45">
      <c r="A114" s="252">
        <v>98</v>
      </c>
      <c r="B114" s="281" t="s">
        <v>428</v>
      </c>
      <c r="C114" s="279" t="s">
        <v>166</v>
      </c>
      <c r="D114" s="118" t="s">
        <v>312</v>
      </c>
      <c r="E114" s="279" t="s">
        <v>420</v>
      </c>
      <c r="F114" s="278"/>
      <c r="G114" s="39">
        <f t="shared" si="36"/>
        <v>0</v>
      </c>
      <c r="H114" s="39">
        <f t="shared" si="36"/>
        <v>0</v>
      </c>
      <c r="I114" s="39">
        <f t="shared" si="36"/>
        <v>0</v>
      </c>
      <c r="J114" s="110"/>
      <c r="K114" s="110"/>
      <c r="L114" s="110"/>
    </row>
    <row r="115" spans="1:12" s="98" customFormat="1">
      <c r="A115" s="252">
        <v>99</v>
      </c>
      <c r="B115" s="280" t="s">
        <v>20</v>
      </c>
      <c r="C115" s="279" t="s">
        <v>166</v>
      </c>
      <c r="D115" s="118" t="s">
        <v>312</v>
      </c>
      <c r="E115" s="279" t="s">
        <v>420</v>
      </c>
      <c r="F115" s="278">
        <v>500</v>
      </c>
      <c r="G115" s="39">
        <f>G116</f>
        <v>0</v>
      </c>
      <c r="H115" s="39"/>
      <c r="I115" s="39"/>
      <c r="J115" s="110"/>
      <c r="K115" s="110"/>
      <c r="L115" s="110"/>
    </row>
    <row r="116" spans="1:12" s="98" customFormat="1">
      <c r="A116" s="252">
        <v>100</v>
      </c>
      <c r="B116" s="281" t="s">
        <v>419</v>
      </c>
      <c r="C116" s="279" t="s">
        <v>166</v>
      </c>
      <c r="D116" s="118" t="s">
        <v>312</v>
      </c>
      <c r="E116" s="279" t="s">
        <v>420</v>
      </c>
      <c r="F116" s="278">
        <v>520</v>
      </c>
      <c r="G116" s="39">
        <f>50-50</f>
        <v>0</v>
      </c>
      <c r="H116" s="39">
        <v>0</v>
      </c>
      <c r="I116" s="39">
        <v>0</v>
      </c>
      <c r="J116" s="240">
        <v>-50</v>
      </c>
      <c r="K116" s="110"/>
      <c r="L116" s="110"/>
    </row>
    <row r="117" spans="1:12" s="98" customFormat="1">
      <c r="A117" s="252">
        <v>101</v>
      </c>
      <c r="B117" s="162" t="s">
        <v>489</v>
      </c>
      <c r="C117" s="160" t="s">
        <v>166</v>
      </c>
      <c r="D117" s="118" t="s">
        <v>490</v>
      </c>
      <c r="E117" s="160"/>
      <c r="F117" s="159"/>
      <c r="G117" s="39">
        <f>G118</f>
        <v>9130</v>
      </c>
      <c r="H117" s="39">
        <f t="shared" ref="H117:I124" si="41">H118</f>
        <v>0</v>
      </c>
      <c r="I117" s="39">
        <f t="shared" si="41"/>
        <v>0</v>
      </c>
      <c r="J117" s="110"/>
      <c r="K117" s="110"/>
      <c r="L117" s="110"/>
    </row>
    <row r="118" spans="1:12" s="98" customFormat="1" ht="30">
      <c r="A118" s="252">
        <v>102</v>
      </c>
      <c r="B118" s="162" t="s">
        <v>491</v>
      </c>
      <c r="C118" s="160" t="s">
        <v>166</v>
      </c>
      <c r="D118" s="118" t="s">
        <v>490</v>
      </c>
      <c r="E118" s="160" t="s">
        <v>180</v>
      </c>
      <c r="F118" s="159"/>
      <c r="G118" s="39">
        <f>G119+G126</f>
        <v>9130</v>
      </c>
      <c r="H118" s="39">
        <f t="shared" si="41"/>
        <v>0</v>
      </c>
      <c r="I118" s="39">
        <f t="shared" si="41"/>
        <v>0</v>
      </c>
      <c r="J118" s="110"/>
      <c r="K118" s="110"/>
      <c r="L118" s="110"/>
    </row>
    <row r="119" spans="1:12" s="98" customFormat="1" ht="30">
      <c r="A119" s="252">
        <v>103</v>
      </c>
      <c r="B119" s="162" t="s">
        <v>493</v>
      </c>
      <c r="C119" s="160" t="s">
        <v>166</v>
      </c>
      <c r="D119" s="118" t="s">
        <v>490</v>
      </c>
      <c r="E119" s="160" t="s">
        <v>182</v>
      </c>
      <c r="F119" s="159"/>
      <c r="G119" s="39">
        <f>G123+G120</f>
        <v>8270</v>
      </c>
      <c r="H119" s="39">
        <f>H123</f>
        <v>0</v>
      </c>
      <c r="I119" s="39">
        <f>I123</f>
        <v>0</v>
      </c>
      <c r="J119" s="110"/>
      <c r="K119" s="110"/>
      <c r="L119" s="110"/>
    </row>
    <row r="120" spans="1:12" s="98" customFormat="1" ht="150" customHeight="1">
      <c r="A120" s="252">
        <v>104</v>
      </c>
      <c r="B120" s="219" t="s">
        <v>571</v>
      </c>
      <c r="C120" s="218" t="s">
        <v>166</v>
      </c>
      <c r="D120" s="118" t="s">
        <v>490</v>
      </c>
      <c r="E120" s="218" t="s">
        <v>572</v>
      </c>
      <c r="F120" s="217"/>
      <c r="G120" s="39">
        <f>G121</f>
        <v>8270</v>
      </c>
      <c r="H120" s="39">
        <f t="shared" ref="H120:I121" si="42">H121</f>
        <v>0</v>
      </c>
      <c r="I120" s="39">
        <f t="shared" si="42"/>
        <v>0</v>
      </c>
      <c r="J120" s="110"/>
      <c r="K120" s="110"/>
      <c r="L120" s="110"/>
    </row>
    <row r="121" spans="1:12" s="98" customFormat="1">
      <c r="A121" s="252">
        <v>105</v>
      </c>
      <c r="B121" s="220" t="s">
        <v>20</v>
      </c>
      <c r="C121" s="218" t="s">
        <v>166</v>
      </c>
      <c r="D121" s="118" t="s">
        <v>490</v>
      </c>
      <c r="E121" s="218" t="s">
        <v>572</v>
      </c>
      <c r="F121" s="217">
        <v>500</v>
      </c>
      <c r="G121" s="39">
        <f>G122</f>
        <v>8270</v>
      </c>
      <c r="H121" s="39">
        <f t="shared" si="42"/>
        <v>0</v>
      </c>
      <c r="I121" s="39">
        <f t="shared" si="42"/>
        <v>0</v>
      </c>
      <c r="J121" s="110"/>
      <c r="K121" s="110"/>
      <c r="L121" s="110"/>
    </row>
    <row r="122" spans="1:12" s="98" customFormat="1">
      <c r="A122" s="252">
        <v>106</v>
      </c>
      <c r="B122" s="219" t="s">
        <v>419</v>
      </c>
      <c r="C122" s="218" t="s">
        <v>166</v>
      </c>
      <c r="D122" s="118" t="s">
        <v>490</v>
      </c>
      <c r="E122" s="218" t="s">
        <v>572</v>
      </c>
      <c r="F122" s="217">
        <v>520</v>
      </c>
      <c r="G122" s="39">
        <v>8270</v>
      </c>
      <c r="H122" s="39">
        <v>0</v>
      </c>
      <c r="I122" s="39">
        <v>0</v>
      </c>
      <c r="J122" s="213">
        <v>8270</v>
      </c>
      <c r="K122" s="110"/>
      <c r="L122" s="110"/>
    </row>
    <row r="123" spans="1:12" s="98" customFormat="1" ht="60">
      <c r="A123" s="252">
        <v>107</v>
      </c>
      <c r="B123" s="162" t="s">
        <v>492</v>
      </c>
      <c r="C123" s="160" t="s">
        <v>166</v>
      </c>
      <c r="D123" s="118" t="s">
        <v>490</v>
      </c>
      <c r="E123" s="160" t="s">
        <v>494</v>
      </c>
      <c r="F123" s="159"/>
      <c r="G123" s="39">
        <f>G124</f>
        <v>0</v>
      </c>
      <c r="H123" s="39">
        <f t="shared" si="41"/>
        <v>0</v>
      </c>
      <c r="I123" s="39">
        <f t="shared" si="41"/>
        <v>0</v>
      </c>
      <c r="J123" s="110"/>
      <c r="K123" s="110"/>
      <c r="L123" s="110"/>
    </row>
    <row r="124" spans="1:12" s="98" customFormat="1">
      <c r="A124" s="252">
        <v>108</v>
      </c>
      <c r="B124" s="161" t="s">
        <v>20</v>
      </c>
      <c r="C124" s="160" t="s">
        <v>166</v>
      </c>
      <c r="D124" s="118" t="s">
        <v>490</v>
      </c>
      <c r="E124" s="160" t="s">
        <v>494</v>
      </c>
      <c r="F124" s="159">
        <v>500</v>
      </c>
      <c r="G124" s="39">
        <f>G125</f>
        <v>0</v>
      </c>
      <c r="H124" s="39">
        <f t="shared" si="41"/>
        <v>0</v>
      </c>
      <c r="I124" s="39">
        <f t="shared" si="41"/>
        <v>0</v>
      </c>
      <c r="J124" s="110"/>
      <c r="K124" s="110"/>
      <c r="L124" s="110"/>
    </row>
    <row r="125" spans="1:12" s="98" customFormat="1">
      <c r="A125" s="252">
        <v>109</v>
      </c>
      <c r="B125" s="162" t="s">
        <v>419</v>
      </c>
      <c r="C125" s="160" t="s">
        <v>166</v>
      </c>
      <c r="D125" s="118" t="s">
        <v>490</v>
      </c>
      <c r="E125" s="160" t="s">
        <v>494</v>
      </c>
      <c r="F125" s="159">
        <v>520</v>
      </c>
      <c r="G125" s="39">
        <f>500-500</f>
        <v>0</v>
      </c>
      <c r="H125" s="39">
        <v>0</v>
      </c>
      <c r="I125" s="39">
        <v>0</v>
      </c>
      <c r="J125" s="240">
        <v>-500</v>
      </c>
      <c r="K125" s="110"/>
      <c r="L125" s="110"/>
    </row>
    <row r="126" spans="1:12" s="98" customFormat="1">
      <c r="A126" s="252">
        <v>110</v>
      </c>
      <c r="B126" s="162" t="s">
        <v>497</v>
      </c>
      <c r="C126" s="160" t="s">
        <v>166</v>
      </c>
      <c r="D126" s="118" t="s">
        <v>490</v>
      </c>
      <c r="E126" s="160" t="s">
        <v>181</v>
      </c>
      <c r="F126" s="159"/>
      <c r="G126" s="39">
        <f>G130+G127</f>
        <v>860</v>
      </c>
      <c r="H126" s="39"/>
      <c r="I126" s="39"/>
      <c r="J126" s="110"/>
      <c r="K126" s="110"/>
      <c r="L126" s="110"/>
    </row>
    <row r="127" spans="1:12" s="98" customFormat="1" ht="45">
      <c r="A127" s="252">
        <v>111</v>
      </c>
      <c r="B127" s="162" t="s">
        <v>500</v>
      </c>
      <c r="C127" s="160" t="s">
        <v>166</v>
      </c>
      <c r="D127" s="118" t="s">
        <v>490</v>
      </c>
      <c r="E127" s="160" t="s">
        <v>498</v>
      </c>
      <c r="F127" s="159"/>
      <c r="G127" s="39">
        <f>G128</f>
        <v>860</v>
      </c>
      <c r="H127" s="39">
        <f t="shared" ref="H127:I128" si="43">H128</f>
        <v>0</v>
      </c>
      <c r="I127" s="39">
        <f t="shared" si="43"/>
        <v>0</v>
      </c>
      <c r="J127" s="110"/>
      <c r="K127" s="110"/>
      <c r="L127" s="110"/>
    </row>
    <row r="128" spans="1:12" s="98" customFormat="1">
      <c r="A128" s="252">
        <v>112</v>
      </c>
      <c r="B128" s="161" t="s">
        <v>20</v>
      </c>
      <c r="C128" s="160" t="s">
        <v>166</v>
      </c>
      <c r="D128" s="118" t="s">
        <v>490</v>
      </c>
      <c r="E128" s="160" t="s">
        <v>498</v>
      </c>
      <c r="F128" s="159">
        <v>500</v>
      </c>
      <c r="G128" s="39">
        <f>G129</f>
        <v>860</v>
      </c>
      <c r="H128" s="39">
        <f t="shared" si="43"/>
        <v>0</v>
      </c>
      <c r="I128" s="39">
        <f t="shared" si="43"/>
        <v>0</v>
      </c>
      <c r="J128" s="110"/>
      <c r="K128" s="110"/>
      <c r="L128" s="110"/>
    </row>
    <row r="129" spans="1:12" s="98" customFormat="1">
      <c r="A129" s="252">
        <v>113</v>
      </c>
      <c r="B129" s="162" t="s">
        <v>419</v>
      </c>
      <c r="C129" s="160" t="s">
        <v>166</v>
      </c>
      <c r="D129" s="118" t="s">
        <v>490</v>
      </c>
      <c r="E129" s="160" t="s">
        <v>498</v>
      </c>
      <c r="F129" s="159">
        <v>520</v>
      </c>
      <c r="G129" s="39">
        <v>860</v>
      </c>
      <c r="H129" s="39">
        <v>0</v>
      </c>
      <c r="I129" s="39">
        <v>0</v>
      </c>
      <c r="J129" s="240">
        <v>-910</v>
      </c>
      <c r="K129" s="240">
        <v>860</v>
      </c>
      <c r="L129" s="110"/>
    </row>
    <row r="130" spans="1:12" s="98" customFormat="1" ht="45">
      <c r="A130" s="252">
        <v>114</v>
      </c>
      <c r="B130" s="232" t="s">
        <v>579</v>
      </c>
      <c r="C130" s="160" t="s">
        <v>166</v>
      </c>
      <c r="D130" s="118" t="s">
        <v>490</v>
      </c>
      <c r="E130" s="160" t="s">
        <v>499</v>
      </c>
      <c r="F130" s="159"/>
      <c r="G130" s="39">
        <f>G131</f>
        <v>0</v>
      </c>
      <c r="H130" s="39"/>
      <c r="I130" s="39"/>
      <c r="J130" s="110"/>
      <c r="K130" s="110"/>
      <c r="L130" s="110"/>
    </row>
    <row r="131" spans="1:12" s="98" customFormat="1">
      <c r="A131" s="252">
        <v>115</v>
      </c>
      <c r="B131" s="161" t="s">
        <v>20</v>
      </c>
      <c r="C131" s="160" t="s">
        <v>166</v>
      </c>
      <c r="D131" s="118" t="s">
        <v>490</v>
      </c>
      <c r="E131" s="160" t="s">
        <v>499</v>
      </c>
      <c r="F131" s="159">
        <v>500</v>
      </c>
      <c r="G131" s="39">
        <f>G132</f>
        <v>0</v>
      </c>
      <c r="H131" s="39"/>
      <c r="I131" s="39"/>
      <c r="J131" s="110"/>
      <c r="K131" s="110"/>
      <c r="L131" s="110"/>
    </row>
    <row r="132" spans="1:12" s="98" customFormat="1">
      <c r="A132" s="252">
        <v>116</v>
      </c>
      <c r="B132" s="162" t="s">
        <v>419</v>
      </c>
      <c r="C132" s="160" t="s">
        <v>166</v>
      </c>
      <c r="D132" s="118" t="s">
        <v>490</v>
      </c>
      <c r="E132" s="160" t="s">
        <v>499</v>
      </c>
      <c r="F132" s="159">
        <v>520</v>
      </c>
      <c r="G132" s="39">
        <f>1350-1350</f>
        <v>0</v>
      </c>
      <c r="H132" s="39">
        <v>0</v>
      </c>
      <c r="I132" s="39">
        <v>0</v>
      </c>
      <c r="J132" s="240">
        <v>-1350</v>
      </c>
      <c r="K132" s="110"/>
      <c r="L132" s="110"/>
    </row>
    <row r="133" spans="1:12" s="98" customFormat="1">
      <c r="A133" s="252">
        <v>117</v>
      </c>
      <c r="B133" s="182" t="s">
        <v>509</v>
      </c>
      <c r="C133" s="179" t="s">
        <v>166</v>
      </c>
      <c r="D133" s="118" t="s">
        <v>510</v>
      </c>
      <c r="E133" s="179"/>
      <c r="F133" s="176"/>
      <c r="G133" s="39">
        <f t="shared" ref="G133:G138" si="44">G134</f>
        <v>31</v>
      </c>
      <c r="H133" s="39">
        <f t="shared" ref="H133:I138" si="45">H134</f>
        <v>0</v>
      </c>
      <c r="I133" s="39">
        <f t="shared" si="45"/>
        <v>0</v>
      </c>
      <c r="J133" s="110"/>
      <c r="K133" s="110"/>
      <c r="L133" s="110"/>
    </row>
    <row r="134" spans="1:12" s="98" customFormat="1">
      <c r="A134" s="252">
        <v>118</v>
      </c>
      <c r="B134" s="182" t="s">
        <v>511</v>
      </c>
      <c r="C134" s="179" t="s">
        <v>166</v>
      </c>
      <c r="D134" s="118" t="s">
        <v>512</v>
      </c>
      <c r="E134" s="179"/>
      <c r="F134" s="176"/>
      <c r="G134" s="39">
        <f t="shared" si="44"/>
        <v>31</v>
      </c>
      <c r="H134" s="39">
        <f t="shared" si="45"/>
        <v>0</v>
      </c>
      <c r="I134" s="39">
        <f t="shared" si="45"/>
        <v>0</v>
      </c>
      <c r="J134" s="110"/>
      <c r="K134" s="110"/>
      <c r="L134" s="110"/>
    </row>
    <row r="135" spans="1:12" s="98" customFormat="1">
      <c r="A135" s="252">
        <v>119</v>
      </c>
      <c r="B135" s="177" t="s">
        <v>25</v>
      </c>
      <c r="C135" s="179" t="s">
        <v>166</v>
      </c>
      <c r="D135" s="118" t="s">
        <v>512</v>
      </c>
      <c r="E135" s="176">
        <v>9200000000</v>
      </c>
      <c r="F135" s="176"/>
      <c r="G135" s="39">
        <f t="shared" si="44"/>
        <v>31</v>
      </c>
      <c r="H135" s="39">
        <f t="shared" si="45"/>
        <v>0</v>
      </c>
      <c r="I135" s="39">
        <f t="shared" si="45"/>
        <v>0</v>
      </c>
      <c r="J135" s="110"/>
      <c r="K135" s="110"/>
      <c r="L135" s="110"/>
    </row>
    <row r="136" spans="1:12" s="98" customFormat="1">
      <c r="A136" s="252">
        <v>120</v>
      </c>
      <c r="B136" s="177" t="s">
        <v>276</v>
      </c>
      <c r="C136" s="179" t="s">
        <v>166</v>
      </c>
      <c r="D136" s="118" t="s">
        <v>512</v>
      </c>
      <c r="E136" s="176">
        <v>9210000000</v>
      </c>
      <c r="F136" s="176"/>
      <c r="G136" s="39">
        <f t="shared" si="44"/>
        <v>31</v>
      </c>
      <c r="H136" s="39">
        <f t="shared" si="45"/>
        <v>0</v>
      </c>
      <c r="I136" s="39">
        <f t="shared" si="45"/>
        <v>0</v>
      </c>
      <c r="J136" s="110"/>
      <c r="K136" s="110"/>
      <c r="L136" s="110"/>
    </row>
    <row r="137" spans="1:12" s="98" customFormat="1">
      <c r="A137" s="252">
        <v>121</v>
      </c>
      <c r="B137" s="177" t="s">
        <v>513</v>
      </c>
      <c r="C137" s="179" t="s">
        <v>166</v>
      </c>
      <c r="D137" s="118" t="s">
        <v>512</v>
      </c>
      <c r="E137" s="176">
        <v>9210000910</v>
      </c>
      <c r="F137" s="176"/>
      <c r="G137" s="39">
        <f t="shared" si="44"/>
        <v>31</v>
      </c>
      <c r="H137" s="39">
        <f t="shared" si="45"/>
        <v>0</v>
      </c>
      <c r="I137" s="39">
        <f t="shared" si="45"/>
        <v>0</v>
      </c>
      <c r="J137" s="110"/>
      <c r="K137" s="110"/>
      <c r="L137" s="110"/>
    </row>
    <row r="138" spans="1:12" s="98" customFormat="1">
      <c r="A138" s="252">
        <v>122</v>
      </c>
      <c r="B138" s="177" t="s">
        <v>514</v>
      </c>
      <c r="C138" s="179" t="s">
        <v>166</v>
      </c>
      <c r="D138" s="118" t="s">
        <v>512</v>
      </c>
      <c r="E138" s="176">
        <v>9210000910</v>
      </c>
      <c r="F138" s="176">
        <v>700</v>
      </c>
      <c r="G138" s="39">
        <f t="shared" si="44"/>
        <v>31</v>
      </c>
      <c r="H138" s="39">
        <f t="shared" si="45"/>
        <v>0</v>
      </c>
      <c r="I138" s="39">
        <f t="shared" si="45"/>
        <v>0</v>
      </c>
      <c r="J138" s="110"/>
      <c r="K138" s="110"/>
      <c r="L138" s="110"/>
    </row>
    <row r="139" spans="1:12" s="98" customFormat="1">
      <c r="A139" s="252">
        <v>123</v>
      </c>
      <c r="B139" s="177" t="s">
        <v>515</v>
      </c>
      <c r="C139" s="179" t="s">
        <v>166</v>
      </c>
      <c r="D139" s="118" t="s">
        <v>512</v>
      </c>
      <c r="E139" s="176">
        <v>9210000910</v>
      </c>
      <c r="F139" s="176">
        <v>730</v>
      </c>
      <c r="G139" s="39">
        <v>31</v>
      </c>
      <c r="H139" s="39">
        <v>0</v>
      </c>
      <c r="I139" s="39">
        <v>0</v>
      </c>
      <c r="J139" s="110"/>
      <c r="K139" s="110"/>
      <c r="L139" s="110"/>
    </row>
    <row r="140" spans="1:12" ht="30">
      <c r="A140" s="252">
        <v>124</v>
      </c>
      <c r="B140" s="119" t="s">
        <v>239</v>
      </c>
      <c r="C140" s="43" t="s">
        <v>166</v>
      </c>
      <c r="D140" s="43" t="s">
        <v>133</v>
      </c>
      <c r="E140" s="42"/>
      <c r="F140" s="42"/>
      <c r="G140" s="39">
        <f>G141+G150</f>
        <v>101896.54000000001</v>
      </c>
      <c r="H140" s="39">
        <f t="shared" ref="H140:I140" si="46">H141+H150</f>
        <v>90851.5</v>
      </c>
      <c r="I140" s="39">
        <f t="shared" si="46"/>
        <v>90851.5</v>
      </c>
    </row>
    <row r="141" spans="1:12" ht="30">
      <c r="A141" s="252">
        <v>125</v>
      </c>
      <c r="B141" s="102" t="s">
        <v>28</v>
      </c>
      <c r="C141" s="43" t="s">
        <v>166</v>
      </c>
      <c r="D141" s="43" t="s">
        <v>134</v>
      </c>
      <c r="E141" s="42"/>
      <c r="F141" s="42"/>
      <c r="G141" s="39">
        <f>G142</f>
        <v>33022.589999999997</v>
      </c>
      <c r="H141" s="39">
        <f t="shared" ref="H141:I142" si="47">H142</f>
        <v>27849.59</v>
      </c>
      <c r="I141" s="39">
        <f t="shared" si="47"/>
        <v>27849.59</v>
      </c>
    </row>
    <row r="142" spans="1:12">
      <c r="A142" s="252">
        <v>126</v>
      </c>
      <c r="B142" s="107" t="s">
        <v>347</v>
      </c>
      <c r="C142" s="43" t="s">
        <v>166</v>
      </c>
      <c r="D142" s="43" t="s">
        <v>134</v>
      </c>
      <c r="E142" s="43" t="s">
        <v>177</v>
      </c>
      <c r="F142" s="42"/>
      <c r="G142" s="39">
        <f>G143</f>
        <v>33022.589999999997</v>
      </c>
      <c r="H142" s="39">
        <f t="shared" si="47"/>
        <v>27849.59</v>
      </c>
      <c r="I142" s="39">
        <f t="shared" si="47"/>
        <v>27849.59</v>
      </c>
    </row>
    <row r="143" spans="1:12" ht="30">
      <c r="A143" s="252">
        <v>127</v>
      </c>
      <c r="B143" s="107" t="s">
        <v>29</v>
      </c>
      <c r="C143" s="43" t="s">
        <v>166</v>
      </c>
      <c r="D143" s="43" t="s">
        <v>134</v>
      </c>
      <c r="E143" s="43" t="s">
        <v>183</v>
      </c>
      <c r="F143" s="42"/>
      <c r="G143" s="39">
        <f>G144+G147</f>
        <v>33022.589999999997</v>
      </c>
      <c r="H143" s="39">
        <f t="shared" ref="H143:I143" si="48">H144+H147</f>
        <v>27849.59</v>
      </c>
      <c r="I143" s="39">
        <f t="shared" si="48"/>
        <v>27849.59</v>
      </c>
    </row>
    <row r="144" spans="1:12" ht="90">
      <c r="A144" s="252">
        <v>128</v>
      </c>
      <c r="B144" s="153" t="s">
        <v>483</v>
      </c>
      <c r="C144" s="43" t="s">
        <v>166</v>
      </c>
      <c r="D144" s="43" t="s">
        <v>134</v>
      </c>
      <c r="E144" s="43" t="s">
        <v>184</v>
      </c>
      <c r="F144" s="42"/>
      <c r="G144" s="39">
        <f>G145</f>
        <v>13931</v>
      </c>
      <c r="H144" s="39">
        <f t="shared" ref="H144:I144" si="49">H145</f>
        <v>8758</v>
      </c>
      <c r="I144" s="39">
        <f t="shared" si="49"/>
        <v>8758</v>
      </c>
    </row>
    <row r="145" spans="1:10">
      <c r="A145" s="252">
        <v>129</v>
      </c>
      <c r="B145" s="102" t="s">
        <v>20</v>
      </c>
      <c r="C145" s="43" t="s">
        <v>166</v>
      </c>
      <c r="D145" s="43" t="s">
        <v>134</v>
      </c>
      <c r="E145" s="43" t="s">
        <v>184</v>
      </c>
      <c r="F145" s="42">
        <v>500</v>
      </c>
      <c r="G145" s="39">
        <f>G146</f>
        <v>13931</v>
      </c>
      <c r="H145" s="39">
        <f t="shared" ref="H145:I145" si="50">H146</f>
        <v>8758</v>
      </c>
      <c r="I145" s="39">
        <f t="shared" si="50"/>
        <v>8758</v>
      </c>
    </row>
    <row r="146" spans="1:10">
      <c r="A146" s="252">
        <v>130</v>
      </c>
      <c r="B146" s="102" t="s">
        <v>30</v>
      </c>
      <c r="C146" s="43" t="s">
        <v>166</v>
      </c>
      <c r="D146" s="43" t="s">
        <v>134</v>
      </c>
      <c r="E146" s="43" t="s">
        <v>184</v>
      </c>
      <c r="F146" s="42">
        <v>510</v>
      </c>
      <c r="G146" s="39">
        <v>13931</v>
      </c>
      <c r="H146" s="39">
        <v>8758</v>
      </c>
      <c r="I146" s="39">
        <v>8758</v>
      </c>
    </row>
    <row r="147" spans="1:10" ht="75">
      <c r="A147" s="252">
        <v>131</v>
      </c>
      <c r="B147" s="107" t="s">
        <v>421</v>
      </c>
      <c r="C147" s="43" t="s">
        <v>166</v>
      </c>
      <c r="D147" s="43" t="s">
        <v>134</v>
      </c>
      <c r="E147" s="43" t="s">
        <v>185</v>
      </c>
      <c r="F147" s="42"/>
      <c r="G147" s="39">
        <f>G148</f>
        <v>19091.59</v>
      </c>
      <c r="H147" s="39">
        <f t="shared" ref="H147:I148" si="51">H148</f>
        <v>19091.59</v>
      </c>
      <c r="I147" s="39">
        <f t="shared" si="51"/>
        <v>19091.59</v>
      </c>
    </row>
    <row r="148" spans="1:10">
      <c r="A148" s="252">
        <v>132</v>
      </c>
      <c r="B148" s="102" t="s">
        <v>20</v>
      </c>
      <c r="C148" s="43" t="s">
        <v>166</v>
      </c>
      <c r="D148" s="43" t="s">
        <v>134</v>
      </c>
      <c r="E148" s="43" t="s">
        <v>185</v>
      </c>
      <c r="F148" s="42">
        <v>500</v>
      </c>
      <c r="G148" s="39">
        <f>G149</f>
        <v>19091.59</v>
      </c>
      <c r="H148" s="39">
        <f t="shared" si="51"/>
        <v>19091.59</v>
      </c>
      <c r="I148" s="39">
        <f t="shared" si="51"/>
        <v>19091.59</v>
      </c>
    </row>
    <row r="149" spans="1:10">
      <c r="A149" s="252">
        <v>133</v>
      </c>
      <c r="B149" s="102" t="s">
        <v>30</v>
      </c>
      <c r="C149" s="43" t="s">
        <v>166</v>
      </c>
      <c r="D149" s="43" t="s">
        <v>134</v>
      </c>
      <c r="E149" s="43" t="s">
        <v>185</v>
      </c>
      <c r="F149" s="42">
        <v>510</v>
      </c>
      <c r="G149" s="39">
        <v>19091.59</v>
      </c>
      <c r="H149" s="39">
        <v>19091.59</v>
      </c>
      <c r="I149" s="39">
        <v>19091.59</v>
      </c>
    </row>
    <row r="150" spans="1:10">
      <c r="A150" s="252">
        <v>134</v>
      </c>
      <c r="B150" s="117" t="s">
        <v>240</v>
      </c>
      <c r="C150" s="43" t="s">
        <v>166</v>
      </c>
      <c r="D150" s="43" t="s">
        <v>135</v>
      </c>
      <c r="E150" s="42"/>
      <c r="F150" s="42"/>
      <c r="G150" s="39">
        <f>G151+G161+G157</f>
        <v>68873.950000000012</v>
      </c>
      <c r="H150" s="39">
        <f t="shared" ref="H150:I150" si="52">H151+H161+H157</f>
        <v>63001.91</v>
      </c>
      <c r="I150" s="39">
        <f t="shared" si="52"/>
        <v>63001.91</v>
      </c>
    </row>
    <row r="151" spans="1:10">
      <c r="A151" s="252">
        <v>135</v>
      </c>
      <c r="B151" s="107" t="s">
        <v>348</v>
      </c>
      <c r="C151" s="43" t="s">
        <v>166</v>
      </c>
      <c r="D151" s="43" t="s">
        <v>135</v>
      </c>
      <c r="E151" s="43" t="s">
        <v>177</v>
      </c>
      <c r="F151" s="42"/>
      <c r="G151" s="39">
        <f>G152</f>
        <v>63001.91</v>
      </c>
      <c r="H151" s="39">
        <f t="shared" ref="H151:I151" si="53">H152</f>
        <v>63001.91</v>
      </c>
      <c r="I151" s="39">
        <f t="shared" si="53"/>
        <v>63001.91</v>
      </c>
    </row>
    <row r="152" spans="1:10" ht="30">
      <c r="A152" s="252">
        <v>136</v>
      </c>
      <c r="B152" s="107" t="s">
        <v>29</v>
      </c>
      <c r="C152" s="43" t="s">
        <v>166</v>
      </c>
      <c r="D152" s="43" t="s">
        <v>135</v>
      </c>
      <c r="E152" s="43" t="s">
        <v>183</v>
      </c>
      <c r="F152" s="42"/>
      <c r="G152" s="39">
        <f>G153</f>
        <v>63001.91</v>
      </c>
      <c r="H152" s="39">
        <f t="shared" ref="H152:I152" si="54">H153</f>
        <v>63001.91</v>
      </c>
      <c r="I152" s="39">
        <f t="shared" si="54"/>
        <v>63001.91</v>
      </c>
    </row>
    <row r="153" spans="1:10" ht="75">
      <c r="A153" s="252">
        <v>137</v>
      </c>
      <c r="B153" s="153" t="s">
        <v>484</v>
      </c>
      <c r="C153" s="43" t="s">
        <v>166</v>
      </c>
      <c r="D153" s="43" t="s">
        <v>135</v>
      </c>
      <c r="E153" s="43" t="s">
        <v>186</v>
      </c>
      <c r="F153" s="42"/>
      <c r="G153" s="39">
        <f>G154</f>
        <v>63001.91</v>
      </c>
      <c r="H153" s="39">
        <f t="shared" ref="H153:I153" si="55">H154</f>
        <v>63001.91</v>
      </c>
      <c r="I153" s="39">
        <f t="shared" si="55"/>
        <v>63001.91</v>
      </c>
    </row>
    <row r="154" spans="1:10">
      <c r="A154" s="252">
        <v>138</v>
      </c>
      <c r="B154" s="102" t="s">
        <v>20</v>
      </c>
      <c r="C154" s="43" t="s">
        <v>166</v>
      </c>
      <c r="D154" s="43" t="s">
        <v>135</v>
      </c>
      <c r="E154" s="43" t="s">
        <v>186</v>
      </c>
      <c r="F154" s="42">
        <v>500</v>
      </c>
      <c r="G154" s="39">
        <f>G155</f>
        <v>63001.91</v>
      </c>
      <c r="H154" s="39">
        <f t="shared" ref="H154:I154" si="56">H155</f>
        <v>63001.91</v>
      </c>
      <c r="I154" s="39">
        <f t="shared" si="56"/>
        <v>63001.91</v>
      </c>
    </row>
    <row r="155" spans="1:10">
      <c r="A155" s="252">
        <v>139</v>
      </c>
      <c r="B155" s="102" t="s">
        <v>27</v>
      </c>
      <c r="C155" s="43" t="s">
        <v>166</v>
      </c>
      <c r="D155" s="43" t="s">
        <v>135</v>
      </c>
      <c r="E155" s="43" t="s">
        <v>186</v>
      </c>
      <c r="F155" s="42">
        <v>540</v>
      </c>
      <c r="G155" s="39">
        <v>63001.91</v>
      </c>
      <c r="H155" s="39">
        <v>63001.91</v>
      </c>
      <c r="I155" s="39">
        <v>63001.91</v>
      </c>
    </row>
    <row r="156" spans="1:10">
      <c r="A156" s="252">
        <v>140</v>
      </c>
      <c r="B156" s="221" t="s">
        <v>304</v>
      </c>
      <c r="C156" s="218" t="s">
        <v>166</v>
      </c>
      <c r="D156" s="218" t="s">
        <v>135</v>
      </c>
      <c r="E156" s="218" t="s">
        <v>187</v>
      </c>
      <c r="F156" s="217"/>
      <c r="G156" s="39">
        <f>G157</f>
        <v>971.3</v>
      </c>
      <c r="H156" s="39">
        <f t="shared" ref="H156:I159" si="57">H157</f>
        <v>0</v>
      </c>
      <c r="I156" s="39">
        <f t="shared" si="57"/>
        <v>0</v>
      </c>
    </row>
    <row r="157" spans="1:10" ht="30">
      <c r="A157" s="252">
        <v>141</v>
      </c>
      <c r="B157" s="222" t="s">
        <v>446</v>
      </c>
      <c r="C157" s="218" t="s">
        <v>166</v>
      </c>
      <c r="D157" s="218" t="s">
        <v>135</v>
      </c>
      <c r="E157" s="218" t="s">
        <v>188</v>
      </c>
      <c r="F157" s="217"/>
      <c r="G157" s="39">
        <f>G158</f>
        <v>971.3</v>
      </c>
      <c r="H157" s="39">
        <f t="shared" si="57"/>
        <v>0</v>
      </c>
      <c r="I157" s="39">
        <f t="shared" si="57"/>
        <v>0</v>
      </c>
    </row>
    <row r="158" spans="1:10" ht="45">
      <c r="A158" s="252">
        <v>142</v>
      </c>
      <c r="B158" s="228" t="s">
        <v>580</v>
      </c>
      <c r="C158" s="218" t="s">
        <v>166</v>
      </c>
      <c r="D158" s="218" t="s">
        <v>135</v>
      </c>
      <c r="E158" s="218" t="s">
        <v>573</v>
      </c>
      <c r="F158" s="217"/>
      <c r="G158" s="39">
        <f>G159</f>
        <v>971.3</v>
      </c>
      <c r="H158" s="39">
        <f t="shared" si="57"/>
        <v>0</v>
      </c>
      <c r="I158" s="39">
        <f t="shared" si="57"/>
        <v>0</v>
      </c>
    </row>
    <row r="159" spans="1:10">
      <c r="A159" s="252">
        <v>143</v>
      </c>
      <c r="B159" s="220" t="s">
        <v>20</v>
      </c>
      <c r="C159" s="218" t="s">
        <v>166</v>
      </c>
      <c r="D159" s="218" t="s">
        <v>135</v>
      </c>
      <c r="E159" s="218" t="s">
        <v>573</v>
      </c>
      <c r="F159" s="217">
        <v>500</v>
      </c>
      <c r="G159" s="39">
        <f>G160</f>
        <v>971.3</v>
      </c>
      <c r="H159" s="39">
        <f t="shared" si="57"/>
        <v>0</v>
      </c>
      <c r="I159" s="39">
        <f t="shared" si="57"/>
        <v>0</v>
      </c>
    </row>
    <row r="160" spans="1:10">
      <c r="A160" s="252">
        <v>144</v>
      </c>
      <c r="B160" s="220" t="s">
        <v>27</v>
      </c>
      <c r="C160" s="218" t="s">
        <v>166</v>
      </c>
      <c r="D160" s="218" t="s">
        <v>135</v>
      </c>
      <c r="E160" s="218" t="s">
        <v>573</v>
      </c>
      <c r="F160" s="217">
        <v>540</v>
      </c>
      <c r="G160" s="39">
        <v>971.3</v>
      </c>
      <c r="H160" s="39">
        <v>0</v>
      </c>
      <c r="I160" s="39">
        <v>0</v>
      </c>
      <c r="J160" s="213">
        <v>971.3</v>
      </c>
    </row>
    <row r="161" spans="1:10">
      <c r="A161" s="252">
        <v>145</v>
      </c>
      <c r="B161" s="115" t="s">
        <v>25</v>
      </c>
      <c r="C161" s="43" t="s">
        <v>166</v>
      </c>
      <c r="D161" s="43" t="s">
        <v>135</v>
      </c>
      <c r="E161" s="43" t="s">
        <v>441</v>
      </c>
      <c r="F161" s="42"/>
      <c r="G161" s="39">
        <f>G162</f>
        <v>4900.74</v>
      </c>
      <c r="H161" s="39">
        <f t="shared" ref="H161:I167" si="58">H162</f>
        <v>0</v>
      </c>
      <c r="I161" s="39">
        <f t="shared" si="58"/>
        <v>0</v>
      </c>
    </row>
    <row r="162" spans="1:10">
      <c r="A162" s="252">
        <v>146</v>
      </c>
      <c r="B162" s="115" t="s">
        <v>276</v>
      </c>
      <c r="C162" s="43" t="s">
        <v>166</v>
      </c>
      <c r="D162" s="43" t="s">
        <v>135</v>
      </c>
      <c r="E162" s="43" t="s">
        <v>442</v>
      </c>
      <c r="F162" s="42"/>
      <c r="G162" s="39">
        <f>G166+G163</f>
        <v>4900.74</v>
      </c>
      <c r="H162" s="39">
        <f>H166</f>
        <v>0</v>
      </c>
      <c r="I162" s="39">
        <f>I166</f>
        <v>0</v>
      </c>
    </row>
    <row r="163" spans="1:10" ht="45">
      <c r="A163" s="252">
        <v>147</v>
      </c>
      <c r="B163" s="198" t="s">
        <v>548</v>
      </c>
      <c r="C163" s="192" t="s">
        <v>166</v>
      </c>
      <c r="D163" s="192" t="s">
        <v>135</v>
      </c>
      <c r="E163" s="192" t="s">
        <v>549</v>
      </c>
      <c r="F163" s="191"/>
      <c r="G163" s="39">
        <f>G164</f>
        <v>3645.74</v>
      </c>
      <c r="H163" s="39">
        <f t="shared" ref="H163:I164" si="59">H164</f>
        <v>0</v>
      </c>
      <c r="I163" s="39">
        <f t="shared" si="59"/>
        <v>0</v>
      </c>
    </row>
    <row r="164" spans="1:10">
      <c r="A164" s="252">
        <v>148</v>
      </c>
      <c r="B164" s="195" t="s">
        <v>20</v>
      </c>
      <c r="C164" s="192" t="s">
        <v>166</v>
      </c>
      <c r="D164" s="192" t="s">
        <v>135</v>
      </c>
      <c r="E164" s="192" t="s">
        <v>549</v>
      </c>
      <c r="F164" s="191">
        <v>500</v>
      </c>
      <c r="G164" s="39">
        <f>G165</f>
        <v>3645.74</v>
      </c>
      <c r="H164" s="39">
        <f t="shared" si="59"/>
        <v>0</v>
      </c>
      <c r="I164" s="39">
        <f t="shared" si="59"/>
        <v>0</v>
      </c>
    </row>
    <row r="165" spans="1:10">
      <c r="A165" s="252">
        <v>149</v>
      </c>
      <c r="B165" s="193" t="s">
        <v>419</v>
      </c>
      <c r="C165" s="192" t="s">
        <v>166</v>
      </c>
      <c r="D165" s="192" t="s">
        <v>135</v>
      </c>
      <c r="E165" s="192" t="s">
        <v>549</v>
      </c>
      <c r="F165" s="191">
        <v>520</v>
      </c>
      <c r="G165" s="39">
        <v>3645.74</v>
      </c>
      <c r="H165" s="39">
        <v>0</v>
      </c>
      <c r="I165" s="39">
        <v>0</v>
      </c>
      <c r="J165" s="213">
        <v>3645.74</v>
      </c>
    </row>
    <row r="166" spans="1:10" ht="45">
      <c r="A166" s="252">
        <v>150</v>
      </c>
      <c r="B166" s="101" t="s">
        <v>411</v>
      </c>
      <c r="C166" s="43" t="s">
        <v>166</v>
      </c>
      <c r="D166" s="43" t="s">
        <v>135</v>
      </c>
      <c r="E166" s="43" t="s">
        <v>443</v>
      </c>
      <c r="F166" s="42"/>
      <c r="G166" s="39">
        <f>G167</f>
        <v>1255</v>
      </c>
      <c r="H166" s="39">
        <f t="shared" si="58"/>
        <v>0</v>
      </c>
      <c r="I166" s="39">
        <f t="shared" si="58"/>
        <v>0</v>
      </c>
    </row>
    <row r="167" spans="1:10">
      <c r="A167" s="252">
        <v>151</v>
      </c>
      <c r="B167" s="102" t="s">
        <v>20</v>
      </c>
      <c r="C167" s="43" t="s">
        <v>166</v>
      </c>
      <c r="D167" s="43" t="s">
        <v>135</v>
      </c>
      <c r="E167" s="43" t="s">
        <v>443</v>
      </c>
      <c r="F167" s="42">
        <v>500</v>
      </c>
      <c r="G167" s="39">
        <f>G168</f>
        <v>1255</v>
      </c>
      <c r="H167" s="39">
        <f t="shared" si="58"/>
        <v>0</v>
      </c>
      <c r="I167" s="39">
        <f t="shared" si="58"/>
        <v>0</v>
      </c>
    </row>
    <row r="168" spans="1:10">
      <c r="A168" s="252">
        <v>152</v>
      </c>
      <c r="B168" s="102" t="s">
        <v>27</v>
      </c>
      <c r="C168" s="43" t="s">
        <v>166</v>
      </c>
      <c r="D168" s="43" t="s">
        <v>135</v>
      </c>
      <c r="E168" s="43" t="s">
        <v>443</v>
      </c>
      <c r="F168" s="42">
        <v>540</v>
      </c>
      <c r="G168" s="39">
        <v>1255</v>
      </c>
      <c r="H168" s="39">
        <v>0</v>
      </c>
      <c r="I168" s="39">
        <v>0</v>
      </c>
    </row>
    <row r="169" spans="1:10" ht="24.75" customHeight="1">
      <c r="A169" s="252">
        <v>153</v>
      </c>
      <c r="B169" s="77" t="s">
        <v>241</v>
      </c>
      <c r="C169" s="73" t="s">
        <v>160</v>
      </c>
      <c r="D169" s="70"/>
      <c r="E169" s="70"/>
      <c r="F169" s="70"/>
      <c r="G169" s="71">
        <f>G170+G262+G316+G341+G356+G332+G252</f>
        <v>228060.69672000001</v>
      </c>
      <c r="H169" s="71">
        <f>H170+H262+H316+H341+H356+H332+H252</f>
        <v>135364.47400000002</v>
      </c>
      <c r="I169" s="71">
        <f>I170+I262+I316+I341+I356+I332+I252</f>
        <v>135025.31999999998</v>
      </c>
    </row>
    <row r="170" spans="1:10">
      <c r="A170" s="252">
        <v>154</v>
      </c>
      <c r="B170" s="80" t="s">
        <v>88</v>
      </c>
      <c r="C170" s="55" t="s">
        <v>160</v>
      </c>
      <c r="D170" s="55" t="s">
        <v>89</v>
      </c>
      <c r="E170" s="59"/>
      <c r="F170" s="59"/>
      <c r="G170" s="39">
        <f>G171+G180+G199+G211+G217+G205</f>
        <v>38518.119999999995</v>
      </c>
      <c r="H170" s="39">
        <f>H171+H180+H199+H211+H217+H205</f>
        <v>30447.629999999997</v>
      </c>
      <c r="I170" s="39">
        <f>I171+I180+I199+I211+I217+I205</f>
        <v>30448.309999999994</v>
      </c>
    </row>
    <row r="171" spans="1:10" ht="30">
      <c r="A171" s="252">
        <v>155</v>
      </c>
      <c r="B171" s="64" t="s">
        <v>90</v>
      </c>
      <c r="C171" s="55" t="s">
        <v>160</v>
      </c>
      <c r="D171" s="55" t="s">
        <v>91</v>
      </c>
      <c r="E171" s="59"/>
      <c r="F171" s="59"/>
      <c r="G171" s="39">
        <f>G172</f>
        <v>1928.52</v>
      </c>
      <c r="H171" s="39">
        <f t="shared" ref="H171:I171" si="60">H172</f>
        <v>1727.01</v>
      </c>
      <c r="I171" s="39">
        <f t="shared" si="60"/>
        <v>1727.01</v>
      </c>
    </row>
    <row r="172" spans="1:10">
      <c r="A172" s="252">
        <v>156</v>
      </c>
      <c r="B172" s="91" t="s">
        <v>270</v>
      </c>
      <c r="C172" s="55" t="s">
        <v>160</v>
      </c>
      <c r="D172" s="55" t="s">
        <v>91</v>
      </c>
      <c r="E172" s="89">
        <v>8500000000</v>
      </c>
      <c r="F172" s="89"/>
      <c r="G172" s="39">
        <f>G173</f>
        <v>1928.52</v>
      </c>
      <c r="H172" s="39">
        <f t="shared" ref="H172:I173" si="61">H173</f>
        <v>1727.01</v>
      </c>
      <c r="I172" s="39">
        <f t="shared" si="61"/>
        <v>1727.01</v>
      </c>
    </row>
    <row r="173" spans="1:10">
      <c r="A173" s="252">
        <v>157</v>
      </c>
      <c r="B173" s="91" t="s">
        <v>271</v>
      </c>
      <c r="C173" s="55" t="s">
        <v>160</v>
      </c>
      <c r="D173" s="55" t="s">
        <v>91</v>
      </c>
      <c r="E173" s="89">
        <v>8510000000</v>
      </c>
      <c r="F173" s="89"/>
      <c r="G173" s="39">
        <f>G174+G177</f>
        <v>1928.52</v>
      </c>
      <c r="H173" s="39">
        <f t="shared" si="61"/>
        <v>1727.01</v>
      </c>
      <c r="I173" s="39">
        <f t="shared" si="61"/>
        <v>1727.01</v>
      </c>
    </row>
    <row r="174" spans="1:10" ht="30">
      <c r="A174" s="252">
        <v>158</v>
      </c>
      <c r="B174" s="90" t="s">
        <v>272</v>
      </c>
      <c r="C174" s="55" t="s">
        <v>160</v>
      </c>
      <c r="D174" s="55" t="s">
        <v>91</v>
      </c>
      <c r="E174" s="59">
        <v>8510000210</v>
      </c>
      <c r="F174" s="59"/>
      <c r="G174" s="39">
        <f>G175</f>
        <v>1727.01</v>
      </c>
      <c r="H174" s="39">
        <f t="shared" ref="H174:I174" si="62">H175</f>
        <v>1727.01</v>
      </c>
      <c r="I174" s="39">
        <f t="shared" si="62"/>
        <v>1727.01</v>
      </c>
    </row>
    <row r="175" spans="1:10" ht="45">
      <c r="A175" s="252">
        <v>159</v>
      </c>
      <c r="B175" s="61" t="s">
        <v>151</v>
      </c>
      <c r="C175" s="55" t="s">
        <v>160</v>
      </c>
      <c r="D175" s="55" t="s">
        <v>91</v>
      </c>
      <c r="E175" s="59">
        <v>8510000210</v>
      </c>
      <c r="F175" s="59">
        <v>100</v>
      </c>
      <c r="G175" s="39">
        <f>G176</f>
        <v>1727.01</v>
      </c>
      <c r="H175" s="39">
        <f>H176</f>
        <v>1727.01</v>
      </c>
      <c r="I175" s="39">
        <f>I176</f>
        <v>1727.01</v>
      </c>
    </row>
    <row r="176" spans="1:10">
      <c r="A176" s="252">
        <v>160</v>
      </c>
      <c r="B176" s="44" t="s">
        <v>18</v>
      </c>
      <c r="C176" s="55" t="s">
        <v>160</v>
      </c>
      <c r="D176" s="55" t="s">
        <v>91</v>
      </c>
      <c r="E176" s="59">
        <v>8510000210</v>
      </c>
      <c r="F176" s="59">
        <v>120</v>
      </c>
      <c r="G176" s="39">
        <v>1727.01</v>
      </c>
      <c r="H176" s="39">
        <v>1727.01</v>
      </c>
      <c r="I176" s="39">
        <v>1727.01</v>
      </c>
    </row>
    <row r="177" spans="1:10" ht="30">
      <c r="A177" s="252">
        <v>161</v>
      </c>
      <c r="B177" s="212" t="s">
        <v>519</v>
      </c>
      <c r="C177" s="55" t="s">
        <v>160</v>
      </c>
      <c r="D177" s="55" t="s">
        <v>91</v>
      </c>
      <c r="E177" s="134">
        <v>8510010360</v>
      </c>
      <c r="F177" s="134"/>
      <c r="G177" s="39">
        <f>G178</f>
        <v>201.51</v>
      </c>
      <c r="H177" s="39">
        <f t="shared" ref="H177:I178" si="63">H178</f>
        <v>0</v>
      </c>
      <c r="I177" s="39">
        <f t="shared" si="63"/>
        <v>0</v>
      </c>
    </row>
    <row r="178" spans="1:10" ht="45">
      <c r="A178" s="252">
        <v>162</v>
      </c>
      <c r="B178" s="212" t="s">
        <v>17</v>
      </c>
      <c r="C178" s="55" t="s">
        <v>160</v>
      </c>
      <c r="D178" s="55" t="s">
        <v>91</v>
      </c>
      <c r="E178" s="134">
        <v>8510010360</v>
      </c>
      <c r="F178" s="134">
        <v>100</v>
      </c>
      <c r="G178" s="39">
        <f>G179</f>
        <v>201.51</v>
      </c>
      <c r="H178" s="39">
        <f t="shared" si="63"/>
        <v>0</v>
      </c>
      <c r="I178" s="39">
        <f t="shared" si="63"/>
        <v>0</v>
      </c>
    </row>
    <row r="179" spans="1:10">
      <c r="A179" s="252">
        <v>163</v>
      </c>
      <c r="B179" s="212" t="s">
        <v>18</v>
      </c>
      <c r="C179" s="55" t="s">
        <v>160</v>
      </c>
      <c r="D179" s="55" t="s">
        <v>91</v>
      </c>
      <c r="E179" s="134">
        <v>8510010360</v>
      </c>
      <c r="F179" s="134">
        <v>120</v>
      </c>
      <c r="G179" s="39">
        <v>201.51</v>
      </c>
      <c r="H179" s="39">
        <v>0</v>
      </c>
      <c r="I179" s="39">
        <v>0</v>
      </c>
      <c r="J179" s="213">
        <v>201.51</v>
      </c>
    </row>
    <row r="180" spans="1:10" ht="30">
      <c r="A180" s="252">
        <v>164</v>
      </c>
      <c r="B180" s="64" t="s">
        <v>19</v>
      </c>
      <c r="C180" s="55" t="s">
        <v>160</v>
      </c>
      <c r="D180" s="55" t="s">
        <v>94</v>
      </c>
      <c r="E180" s="59"/>
      <c r="F180" s="59"/>
      <c r="G180" s="39">
        <f>G181</f>
        <v>28719.73</v>
      </c>
      <c r="H180" s="39">
        <f t="shared" ref="H180:I181" si="64">H181</f>
        <v>25683.399999999998</v>
      </c>
      <c r="I180" s="39">
        <f t="shared" si="64"/>
        <v>25683.399999999998</v>
      </c>
    </row>
    <row r="181" spans="1:10">
      <c r="A181" s="252">
        <v>165</v>
      </c>
      <c r="B181" s="91" t="s">
        <v>270</v>
      </c>
      <c r="C181" s="55" t="s">
        <v>160</v>
      </c>
      <c r="D181" s="55" t="s">
        <v>94</v>
      </c>
      <c r="E181" s="55" t="s">
        <v>273</v>
      </c>
      <c r="F181" s="59"/>
      <c r="G181" s="39">
        <f>G182</f>
        <v>28719.73</v>
      </c>
      <c r="H181" s="39">
        <f t="shared" si="64"/>
        <v>25683.399999999998</v>
      </c>
      <c r="I181" s="39">
        <f t="shared" si="64"/>
        <v>25683.399999999998</v>
      </c>
    </row>
    <row r="182" spans="1:10">
      <c r="A182" s="252">
        <v>166</v>
      </c>
      <c r="B182" s="91" t="s">
        <v>271</v>
      </c>
      <c r="C182" s="55" t="s">
        <v>160</v>
      </c>
      <c r="D182" s="55" t="s">
        <v>94</v>
      </c>
      <c r="E182" s="55" t="s">
        <v>274</v>
      </c>
      <c r="F182" s="59"/>
      <c r="G182" s="39">
        <f>G183+G190+G196+G193</f>
        <v>28719.73</v>
      </c>
      <c r="H182" s="39">
        <f t="shared" ref="H182:I182" si="65">H183+H190+H196+H193</f>
        <v>25683.399999999998</v>
      </c>
      <c r="I182" s="39">
        <f t="shared" si="65"/>
        <v>25683.399999999998</v>
      </c>
    </row>
    <row r="183" spans="1:10" ht="45">
      <c r="A183" s="252">
        <v>167</v>
      </c>
      <c r="B183" s="112" t="s">
        <v>429</v>
      </c>
      <c r="C183" s="55" t="s">
        <v>160</v>
      </c>
      <c r="D183" s="55" t="s">
        <v>94</v>
      </c>
      <c r="E183" s="55" t="s">
        <v>275</v>
      </c>
      <c r="F183" s="59"/>
      <c r="G183" s="39">
        <f>G184+G186+G188</f>
        <v>23607</v>
      </c>
      <c r="H183" s="39">
        <f t="shared" ref="H183:I183" si="66">H184+H186+H188</f>
        <v>22606.289999999997</v>
      </c>
      <c r="I183" s="39">
        <f t="shared" si="66"/>
        <v>22606.289999999997</v>
      </c>
    </row>
    <row r="184" spans="1:10" ht="45">
      <c r="A184" s="252">
        <v>168</v>
      </c>
      <c r="B184" s="64" t="s">
        <v>17</v>
      </c>
      <c r="C184" s="55" t="s">
        <v>160</v>
      </c>
      <c r="D184" s="55" t="s">
        <v>94</v>
      </c>
      <c r="E184" s="55" t="s">
        <v>275</v>
      </c>
      <c r="F184" s="59">
        <v>100</v>
      </c>
      <c r="G184" s="39">
        <f>G185</f>
        <v>16618.599999999999</v>
      </c>
      <c r="H184" s="39">
        <f t="shared" ref="H184:I184" si="67">H185</f>
        <v>15583.95</v>
      </c>
      <c r="I184" s="39">
        <f t="shared" si="67"/>
        <v>15583.95</v>
      </c>
    </row>
    <row r="185" spans="1:10">
      <c r="A185" s="252">
        <v>169</v>
      </c>
      <c r="B185" s="64" t="s">
        <v>18</v>
      </c>
      <c r="C185" s="55" t="s">
        <v>160</v>
      </c>
      <c r="D185" s="55" t="s">
        <v>94</v>
      </c>
      <c r="E185" s="55" t="s">
        <v>275</v>
      </c>
      <c r="F185" s="59">
        <v>120</v>
      </c>
      <c r="G185" s="39">
        <f>15583.95+641.48+393.17</f>
        <v>16618.599999999999</v>
      </c>
      <c r="H185" s="39">
        <v>15583.95</v>
      </c>
      <c r="I185" s="39">
        <v>15583.95</v>
      </c>
      <c r="J185" s="240">
        <v>393.17</v>
      </c>
    </row>
    <row r="186" spans="1:10">
      <c r="A186" s="252">
        <v>170</v>
      </c>
      <c r="B186" s="64" t="s">
        <v>22</v>
      </c>
      <c r="C186" s="55" t="s">
        <v>160</v>
      </c>
      <c r="D186" s="55" t="s">
        <v>94</v>
      </c>
      <c r="E186" s="55" t="s">
        <v>275</v>
      </c>
      <c r="F186" s="59">
        <v>200</v>
      </c>
      <c r="G186" s="39">
        <f>G187</f>
        <v>6218.0399999999991</v>
      </c>
      <c r="H186" s="39">
        <f t="shared" ref="H186:I186" si="68">H187</f>
        <v>6382.9</v>
      </c>
      <c r="I186" s="39">
        <f t="shared" si="68"/>
        <v>6382.9</v>
      </c>
    </row>
    <row r="187" spans="1:10">
      <c r="A187" s="252">
        <v>171</v>
      </c>
      <c r="B187" s="64" t="s">
        <v>23</v>
      </c>
      <c r="C187" s="55" t="s">
        <v>160</v>
      </c>
      <c r="D187" s="55" t="s">
        <v>94</v>
      </c>
      <c r="E187" s="55" t="s">
        <v>275</v>
      </c>
      <c r="F187" s="59">
        <v>240</v>
      </c>
      <c r="G187" s="39">
        <f>7037.9-31-16.46-641.48-130.92</f>
        <v>6218.0399999999991</v>
      </c>
      <c r="H187" s="39">
        <f>7037.9-655</f>
        <v>6382.9</v>
      </c>
      <c r="I187" s="39">
        <f>7037.9-655</f>
        <v>6382.9</v>
      </c>
      <c r="J187" s="110">
        <v>-130.91999999999999</v>
      </c>
    </row>
    <row r="188" spans="1:10">
      <c r="A188" s="252">
        <v>172</v>
      </c>
      <c r="B188" s="64" t="s">
        <v>34</v>
      </c>
      <c r="C188" s="55" t="s">
        <v>160</v>
      </c>
      <c r="D188" s="55" t="s">
        <v>94</v>
      </c>
      <c r="E188" s="55" t="s">
        <v>275</v>
      </c>
      <c r="F188" s="59">
        <v>800</v>
      </c>
      <c r="G188" s="39">
        <f>G189</f>
        <v>770.36</v>
      </c>
      <c r="H188" s="39">
        <f t="shared" ref="H188:I188" si="69">H189</f>
        <v>639.44000000000005</v>
      </c>
      <c r="I188" s="39">
        <f t="shared" si="69"/>
        <v>639.44000000000005</v>
      </c>
    </row>
    <row r="189" spans="1:10">
      <c r="A189" s="252">
        <v>173</v>
      </c>
      <c r="B189" s="64" t="s">
        <v>83</v>
      </c>
      <c r="C189" s="55" t="s">
        <v>160</v>
      </c>
      <c r="D189" s="55" t="s">
        <v>94</v>
      </c>
      <c r="E189" s="55" t="s">
        <v>275</v>
      </c>
      <c r="F189" s="59">
        <v>850</v>
      </c>
      <c r="G189" s="39">
        <f>639.44+130.92</f>
        <v>770.36</v>
      </c>
      <c r="H189" s="39">
        <v>639.44000000000005</v>
      </c>
      <c r="I189" s="39">
        <v>639.44000000000005</v>
      </c>
      <c r="J189" s="110">
        <v>130.91999999999999</v>
      </c>
    </row>
    <row r="190" spans="1:10" ht="45">
      <c r="A190" s="252">
        <v>174</v>
      </c>
      <c r="B190" s="101" t="s">
        <v>431</v>
      </c>
      <c r="C190" s="55" t="s">
        <v>160</v>
      </c>
      <c r="D190" s="55" t="s">
        <v>94</v>
      </c>
      <c r="E190" s="55" t="s">
        <v>430</v>
      </c>
      <c r="F190" s="111"/>
      <c r="G190" s="39">
        <f>G191</f>
        <v>3077.11</v>
      </c>
      <c r="H190" s="39">
        <f t="shared" ref="H190:I191" si="70">H191</f>
        <v>3077.11</v>
      </c>
      <c r="I190" s="39">
        <f t="shared" si="70"/>
        <v>3077.11</v>
      </c>
    </row>
    <row r="191" spans="1:10" ht="45">
      <c r="A191" s="252">
        <v>175</v>
      </c>
      <c r="B191" s="102" t="s">
        <v>17</v>
      </c>
      <c r="C191" s="55" t="s">
        <v>160</v>
      </c>
      <c r="D191" s="55" t="s">
        <v>94</v>
      </c>
      <c r="E191" s="55" t="s">
        <v>430</v>
      </c>
      <c r="F191" s="111">
        <v>100</v>
      </c>
      <c r="G191" s="39">
        <f>G192</f>
        <v>3077.11</v>
      </c>
      <c r="H191" s="39">
        <f t="shared" si="70"/>
        <v>3077.11</v>
      </c>
      <c r="I191" s="39">
        <f t="shared" si="70"/>
        <v>3077.11</v>
      </c>
    </row>
    <row r="192" spans="1:10">
      <c r="A192" s="252">
        <v>176</v>
      </c>
      <c r="B192" s="102" t="s">
        <v>18</v>
      </c>
      <c r="C192" s="55" t="s">
        <v>160</v>
      </c>
      <c r="D192" s="55" t="s">
        <v>94</v>
      </c>
      <c r="E192" s="55" t="s">
        <v>430</v>
      </c>
      <c r="F192" s="111">
        <v>120</v>
      </c>
      <c r="G192" s="39">
        <v>3077.11</v>
      </c>
      <c r="H192" s="39">
        <v>3077.11</v>
      </c>
      <c r="I192" s="39">
        <v>3077.11</v>
      </c>
    </row>
    <row r="193" spans="1:12" ht="30">
      <c r="A193" s="252">
        <v>177</v>
      </c>
      <c r="B193" s="195" t="s">
        <v>519</v>
      </c>
      <c r="C193" s="55" t="s">
        <v>160</v>
      </c>
      <c r="D193" s="55" t="s">
        <v>94</v>
      </c>
      <c r="E193" s="55" t="s">
        <v>550</v>
      </c>
      <c r="F193" s="134"/>
      <c r="G193" s="39">
        <f>G194</f>
        <v>1959.4199999999998</v>
      </c>
      <c r="H193" s="39">
        <f t="shared" ref="H193:I194" si="71">H194</f>
        <v>0</v>
      </c>
      <c r="I193" s="39">
        <f t="shared" si="71"/>
        <v>0</v>
      </c>
    </row>
    <row r="194" spans="1:12" ht="45">
      <c r="A194" s="252">
        <v>178</v>
      </c>
      <c r="B194" s="195" t="s">
        <v>17</v>
      </c>
      <c r="C194" s="55" t="s">
        <v>160</v>
      </c>
      <c r="D194" s="55" t="s">
        <v>94</v>
      </c>
      <c r="E194" s="55" t="s">
        <v>550</v>
      </c>
      <c r="F194" s="134">
        <v>100</v>
      </c>
      <c r="G194" s="39">
        <f>G195</f>
        <v>1959.4199999999998</v>
      </c>
      <c r="H194" s="39">
        <f t="shared" si="71"/>
        <v>0</v>
      </c>
      <c r="I194" s="39">
        <f t="shared" si="71"/>
        <v>0</v>
      </c>
    </row>
    <row r="195" spans="1:12">
      <c r="A195" s="252">
        <v>179</v>
      </c>
      <c r="B195" s="195" t="s">
        <v>18</v>
      </c>
      <c r="C195" s="55" t="s">
        <v>160</v>
      </c>
      <c r="D195" s="55" t="s">
        <v>94</v>
      </c>
      <c r="E195" s="55" t="s">
        <v>550</v>
      </c>
      <c r="F195" s="134">
        <v>120</v>
      </c>
      <c r="G195" s="39">
        <f>2160.93-201.51</f>
        <v>1959.4199999999998</v>
      </c>
      <c r="H195" s="39">
        <v>0</v>
      </c>
      <c r="I195" s="39">
        <v>0</v>
      </c>
      <c r="J195" s="213">
        <f>2160.93-201.51</f>
        <v>1959.4199999999998</v>
      </c>
    </row>
    <row r="196" spans="1:12" ht="45">
      <c r="A196" s="252">
        <v>180</v>
      </c>
      <c r="B196" s="101" t="s">
        <v>411</v>
      </c>
      <c r="C196" s="55" t="s">
        <v>160</v>
      </c>
      <c r="D196" s="55" t="s">
        <v>94</v>
      </c>
      <c r="E196" s="55" t="s">
        <v>451</v>
      </c>
      <c r="F196" s="114"/>
      <c r="G196" s="39">
        <f>G197</f>
        <v>76.2</v>
      </c>
      <c r="H196" s="39">
        <f t="shared" ref="H196:I197" si="72">H197</f>
        <v>0</v>
      </c>
      <c r="I196" s="39">
        <f t="shared" si="72"/>
        <v>0</v>
      </c>
    </row>
    <row r="197" spans="1:12" ht="45">
      <c r="A197" s="252">
        <v>181</v>
      </c>
      <c r="B197" s="102" t="s">
        <v>17</v>
      </c>
      <c r="C197" s="55" t="s">
        <v>160</v>
      </c>
      <c r="D197" s="55" t="s">
        <v>94</v>
      </c>
      <c r="E197" s="55" t="s">
        <v>451</v>
      </c>
      <c r="F197" s="114">
        <v>100</v>
      </c>
      <c r="G197" s="39">
        <f>G198</f>
        <v>76.2</v>
      </c>
      <c r="H197" s="39">
        <f t="shared" si="72"/>
        <v>0</v>
      </c>
      <c r="I197" s="39">
        <f t="shared" si="72"/>
        <v>0</v>
      </c>
    </row>
    <row r="198" spans="1:12">
      <c r="A198" s="252">
        <v>182</v>
      </c>
      <c r="B198" s="102" t="s">
        <v>18</v>
      </c>
      <c r="C198" s="55" t="s">
        <v>160</v>
      </c>
      <c r="D198" s="55" t="s">
        <v>94</v>
      </c>
      <c r="E198" s="55" t="s">
        <v>451</v>
      </c>
      <c r="F198" s="114">
        <v>120</v>
      </c>
      <c r="G198" s="39">
        <v>76.2</v>
      </c>
      <c r="H198" s="39">
        <v>0</v>
      </c>
      <c r="I198" s="39">
        <v>0</v>
      </c>
    </row>
    <row r="199" spans="1:12">
      <c r="A199" s="252">
        <v>183</v>
      </c>
      <c r="B199" s="80" t="s">
        <v>164</v>
      </c>
      <c r="C199" s="55" t="s">
        <v>160</v>
      </c>
      <c r="D199" s="55" t="s">
        <v>167</v>
      </c>
      <c r="E199" s="59"/>
      <c r="F199" s="59"/>
      <c r="G199" s="39">
        <f>G200</f>
        <v>5</v>
      </c>
      <c r="H199" s="39">
        <f t="shared" ref="H199:I199" si="73">H200</f>
        <v>5.3999999999999995</v>
      </c>
      <c r="I199" s="39">
        <f t="shared" si="73"/>
        <v>41.8</v>
      </c>
    </row>
    <row r="200" spans="1:12">
      <c r="A200" s="252">
        <v>184</v>
      </c>
      <c r="B200" s="91" t="s">
        <v>270</v>
      </c>
      <c r="C200" s="55" t="s">
        <v>160</v>
      </c>
      <c r="D200" s="55" t="s">
        <v>167</v>
      </c>
      <c r="E200" s="59">
        <v>8500000000</v>
      </c>
      <c r="F200" s="59"/>
      <c r="G200" s="39">
        <f>G202</f>
        <v>5</v>
      </c>
      <c r="H200" s="39">
        <f>H202</f>
        <v>5.3999999999999995</v>
      </c>
      <c r="I200" s="39">
        <f>I202</f>
        <v>41.8</v>
      </c>
    </row>
    <row r="201" spans="1:12">
      <c r="A201" s="252">
        <v>185</v>
      </c>
      <c r="B201" s="91" t="s">
        <v>271</v>
      </c>
      <c r="C201" s="55" t="s">
        <v>160</v>
      </c>
      <c r="D201" s="55" t="s">
        <v>167</v>
      </c>
      <c r="E201" s="89">
        <v>8510000000</v>
      </c>
      <c r="F201" s="89"/>
      <c r="G201" s="39">
        <f>G202</f>
        <v>5</v>
      </c>
      <c r="H201" s="39">
        <f t="shared" ref="H201:I201" si="74">H202</f>
        <v>5.3999999999999995</v>
      </c>
      <c r="I201" s="39">
        <f t="shared" si="74"/>
        <v>41.8</v>
      </c>
    </row>
    <row r="202" spans="1:12" ht="45">
      <c r="A202" s="252">
        <v>186</v>
      </c>
      <c r="B202" s="101" t="s">
        <v>478</v>
      </c>
      <c r="C202" s="55" t="s">
        <v>160</v>
      </c>
      <c r="D202" s="55" t="s">
        <v>167</v>
      </c>
      <c r="E202" s="59">
        <v>8510051200</v>
      </c>
      <c r="F202" s="59"/>
      <c r="G202" s="39">
        <f>G203</f>
        <v>5</v>
      </c>
      <c r="H202" s="39">
        <f t="shared" ref="H202:I202" si="75">H203</f>
        <v>5.3999999999999995</v>
      </c>
      <c r="I202" s="39">
        <f t="shared" si="75"/>
        <v>41.8</v>
      </c>
    </row>
    <row r="203" spans="1:12">
      <c r="A203" s="252">
        <v>187</v>
      </c>
      <c r="B203" s="64" t="s">
        <v>22</v>
      </c>
      <c r="C203" s="55" t="s">
        <v>160</v>
      </c>
      <c r="D203" s="55" t="s">
        <v>167</v>
      </c>
      <c r="E203" s="89">
        <v>8510051200</v>
      </c>
      <c r="F203" s="59">
        <v>200</v>
      </c>
      <c r="G203" s="39">
        <f>G204</f>
        <v>5</v>
      </c>
      <c r="H203" s="39">
        <f t="shared" ref="H203:I203" si="76">H204</f>
        <v>5.3999999999999995</v>
      </c>
      <c r="I203" s="39">
        <f t="shared" si="76"/>
        <v>41.8</v>
      </c>
    </row>
    <row r="204" spans="1:12">
      <c r="A204" s="252">
        <v>188</v>
      </c>
      <c r="B204" s="64" t="s">
        <v>23</v>
      </c>
      <c r="C204" s="55" t="s">
        <v>160</v>
      </c>
      <c r="D204" s="55" t="s">
        <v>167</v>
      </c>
      <c r="E204" s="89">
        <v>8510051200</v>
      </c>
      <c r="F204" s="59">
        <v>240</v>
      </c>
      <c r="G204" s="39">
        <v>5</v>
      </c>
      <c r="H204" s="39">
        <f>5.3+0.1</f>
        <v>5.3999999999999995</v>
      </c>
      <c r="I204" s="39">
        <v>41.8</v>
      </c>
      <c r="J204" s="213">
        <v>0</v>
      </c>
      <c r="K204" s="213">
        <v>0.1</v>
      </c>
      <c r="L204" s="213">
        <v>41.8</v>
      </c>
    </row>
    <row r="205" spans="1:12">
      <c r="A205" s="252">
        <v>189</v>
      </c>
      <c r="B205" s="101" t="s">
        <v>466</v>
      </c>
      <c r="C205" s="55" t="s">
        <v>160</v>
      </c>
      <c r="D205" s="55" t="s">
        <v>465</v>
      </c>
      <c r="E205" s="134"/>
      <c r="F205" s="134"/>
      <c r="G205" s="39">
        <f>G206</f>
        <v>1451.2</v>
      </c>
      <c r="H205" s="39">
        <f t="shared" ref="H205:I209" si="77">H206</f>
        <v>0</v>
      </c>
      <c r="I205" s="39">
        <f t="shared" si="77"/>
        <v>0</v>
      </c>
    </row>
    <row r="206" spans="1:12">
      <c r="A206" s="252">
        <v>190</v>
      </c>
      <c r="B206" s="101" t="s">
        <v>270</v>
      </c>
      <c r="C206" s="55" t="s">
        <v>160</v>
      </c>
      <c r="D206" s="55" t="s">
        <v>465</v>
      </c>
      <c r="E206" s="134">
        <v>8500000000</v>
      </c>
      <c r="F206" s="134"/>
      <c r="G206" s="39">
        <f>G207</f>
        <v>1451.2</v>
      </c>
      <c r="H206" s="39">
        <f t="shared" si="77"/>
        <v>0</v>
      </c>
      <c r="I206" s="39">
        <f t="shared" si="77"/>
        <v>0</v>
      </c>
    </row>
    <row r="207" spans="1:12">
      <c r="A207" s="252">
        <v>191</v>
      </c>
      <c r="B207" s="101" t="s">
        <v>271</v>
      </c>
      <c r="C207" s="55" t="s">
        <v>160</v>
      </c>
      <c r="D207" s="55" t="s">
        <v>465</v>
      </c>
      <c r="E207" s="134">
        <v>8510000000</v>
      </c>
      <c r="F207" s="134"/>
      <c r="G207" s="39">
        <f>G208</f>
        <v>1451.2</v>
      </c>
      <c r="H207" s="39">
        <f t="shared" si="77"/>
        <v>0</v>
      </c>
      <c r="I207" s="39">
        <f t="shared" si="77"/>
        <v>0</v>
      </c>
    </row>
    <row r="208" spans="1:12" ht="30">
      <c r="A208" s="252">
        <v>192</v>
      </c>
      <c r="B208" s="101" t="s">
        <v>467</v>
      </c>
      <c r="C208" s="55" t="s">
        <v>160</v>
      </c>
      <c r="D208" s="55" t="s">
        <v>465</v>
      </c>
      <c r="E208" s="134">
        <v>8510000260</v>
      </c>
      <c r="F208" s="134"/>
      <c r="G208" s="39">
        <f>G209</f>
        <v>1451.2</v>
      </c>
      <c r="H208" s="39">
        <f t="shared" si="77"/>
        <v>0</v>
      </c>
      <c r="I208" s="39">
        <f t="shared" si="77"/>
        <v>0</v>
      </c>
    </row>
    <row r="209" spans="1:10">
      <c r="A209" s="252">
        <v>193</v>
      </c>
      <c r="B209" s="102" t="s">
        <v>34</v>
      </c>
      <c r="C209" s="55" t="s">
        <v>160</v>
      </c>
      <c r="D209" s="55" t="s">
        <v>465</v>
      </c>
      <c r="E209" s="134">
        <v>8510000260</v>
      </c>
      <c r="F209" s="134">
        <v>800</v>
      </c>
      <c r="G209" s="39">
        <f>G210</f>
        <v>1451.2</v>
      </c>
      <c r="H209" s="39">
        <f t="shared" si="77"/>
        <v>0</v>
      </c>
      <c r="I209" s="39">
        <f t="shared" si="77"/>
        <v>0</v>
      </c>
    </row>
    <row r="210" spans="1:10">
      <c r="A210" s="252">
        <v>194</v>
      </c>
      <c r="B210" s="101" t="s">
        <v>468</v>
      </c>
      <c r="C210" s="55" t="s">
        <v>160</v>
      </c>
      <c r="D210" s="55" t="s">
        <v>465</v>
      </c>
      <c r="E210" s="134">
        <v>8510000260</v>
      </c>
      <c r="F210" s="134">
        <v>880</v>
      </c>
      <c r="G210" s="39">
        <f>967+484.2</f>
        <v>1451.2</v>
      </c>
      <c r="H210" s="39">
        <v>0</v>
      </c>
      <c r="I210" s="39">
        <v>0</v>
      </c>
      <c r="J210" s="240">
        <v>484.2</v>
      </c>
    </row>
    <row r="211" spans="1:10">
      <c r="A211" s="252">
        <v>195</v>
      </c>
      <c r="B211" s="80" t="s">
        <v>33</v>
      </c>
      <c r="C211" s="55" t="s">
        <v>160</v>
      </c>
      <c r="D211" s="55" t="s">
        <v>96</v>
      </c>
      <c r="E211" s="59"/>
      <c r="F211" s="59"/>
      <c r="G211" s="39">
        <f>G212</f>
        <v>150</v>
      </c>
      <c r="H211" s="39">
        <f t="shared" ref="H211:I214" si="78">H212</f>
        <v>150</v>
      </c>
      <c r="I211" s="39">
        <f t="shared" si="78"/>
        <v>150</v>
      </c>
    </row>
    <row r="212" spans="1:10">
      <c r="A212" s="252">
        <v>196</v>
      </c>
      <c r="B212" s="91" t="s">
        <v>270</v>
      </c>
      <c r="C212" s="55" t="s">
        <v>160</v>
      </c>
      <c r="D212" s="55" t="s">
        <v>96</v>
      </c>
      <c r="E212" s="59">
        <v>8500000000</v>
      </c>
      <c r="F212" s="59"/>
      <c r="G212" s="39">
        <f>G214</f>
        <v>150</v>
      </c>
      <c r="H212" s="39">
        <f>H214</f>
        <v>150</v>
      </c>
      <c r="I212" s="39">
        <f>I214</f>
        <v>150</v>
      </c>
    </row>
    <row r="213" spans="1:10">
      <c r="A213" s="252">
        <v>197</v>
      </c>
      <c r="B213" s="91" t="s">
        <v>271</v>
      </c>
      <c r="C213" s="55" t="s">
        <v>160</v>
      </c>
      <c r="D213" s="55" t="s">
        <v>96</v>
      </c>
      <c r="E213" s="89">
        <v>8510000000</v>
      </c>
      <c r="F213" s="89"/>
      <c r="G213" s="39">
        <f>G214</f>
        <v>150</v>
      </c>
      <c r="H213" s="39">
        <f t="shared" ref="H213:I213" si="79">H214</f>
        <v>150</v>
      </c>
      <c r="I213" s="39">
        <f t="shared" si="79"/>
        <v>150</v>
      </c>
    </row>
    <row r="214" spans="1:10">
      <c r="A214" s="252">
        <v>198</v>
      </c>
      <c r="B214" s="40" t="s">
        <v>36</v>
      </c>
      <c r="C214" s="55" t="s">
        <v>160</v>
      </c>
      <c r="D214" s="55" t="s">
        <v>96</v>
      </c>
      <c r="E214" s="59">
        <v>8510010110</v>
      </c>
      <c r="F214" s="59"/>
      <c r="G214" s="39">
        <f>G215</f>
        <v>150</v>
      </c>
      <c r="H214" s="39">
        <f t="shared" si="78"/>
        <v>150</v>
      </c>
      <c r="I214" s="39">
        <f t="shared" si="78"/>
        <v>150</v>
      </c>
    </row>
    <row r="215" spans="1:10">
      <c r="A215" s="252">
        <v>199</v>
      </c>
      <c r="B215" s="64" t="s">
        <v>34</v>
      </c>
      <c r="C215" s="55" t="s">
        <v>160</v>
      </c>
      <c r="D215" s="55" t="s">
        <v>96</v>
      </c>
      <c r="E215" s="59">
        <v>8510010110</v>
      </c>
      <c r="F215" s="59">
        <v>800</v>
      </c>
      <c r="G215" s="39">
        <f>G216</f>
        <v>150</v>
      </c>
      <c r="H215" s="39">
        <f t="shared" ref="H215:I215" si="80">H216</f>
        <v>150</v>
      </c>
      <c r="I215" s="39">
        <f t="shared" si="80"/>
        <v>150</v>
      </c>
    </row>
    <row r="216" spans="1:10">
      <c r="A216" s="252">
        <v>200</v>
      </c>
      <c r="B216" s="64" t="s">
        <v>35</v>
      </c>
      <c r="C216" s="55" t="s">
        <v>160</v>
      </c>
      <c r="D216" s="55" t="s">
        <v>96</v>
      </c>
      <c r="E216" s="59">
        <v>8510010110</v>
      </c>
      <c r="F216" s="59">
        <v>870</v>
      </c>
      <c r="G216" s="39">
        <v>150</v>
      </c>
      <c r="H216" s="39">
        <v>150</v>
      </c>
      <c r="I216" s="39">
        <v>150</v>
      </c>
    </row>
    <row r="217" spans="1:10">
      <c r="A217" s="252">
        <v>201</v>
      </c>
      <c r="B217" s="80" t="s">
        <v>37</v>
      </c>
      <c r="C217" s="55" t="s">
        <v>160</v>
      </c>
      <c r="D217" s="55" t="s">
        <v>97</v>
      </c>
      <c r="E217" s="59"/>
      <c r="F217" s="59"/>
      <c r="G217" s="39">
        <f>G218+G245</f>
        <v>6263.670000000001</v>
      </c>
      <c r="H217" s="39">
        <f>H218+H245</f>
        <v>2881.82</v>
      </c>
      <c r="I217" s="39">
        <f>I218+I245</f>
        <v>2846.1</v>
      </c>
    </row>
    <row r="218" spans="1:10">
      <c r="A218" s="252">
        <v>202</v>
      </c>
      <c r="B218" s="96" t="s">
        <v>270</v>
      </c>
      <c r="C218" s="55" t="s">
        <v>160</v>
      </c>
      <c r="D218" s="55" t="s">
        <v>97</v>
      </c>
      <c r="E218" s="59">
        <v>8500000000</v>
      </c>
      <c r="F218" s="59"/>
      <c r="G218" s="39">
        <f>G219</f>
        <v>5534.0700000000006</v>
      </c>
      <c r="H218" s="39">
        <f t="shared" ref="H218:I218" si="81">H219</f>
        <v>2101.3200000000002</v>
      </c>
      <c r="I218" s="39">
        <f t="shared" si="81"/>
        <v>2065.6</v>
      </c>
    </row>
    <row r="219" spans="1:10">
      <c r="A219" s="252">
        <v>203</v>
      </c>
      <c r="B219" s="96" t="s">
        <v>271</v>
      </c>
      <c r="C219" s="55" t="s">
        <v>160</v>
      </c>
      <c r="D219" s="55" t="s">
        <v>97</v>
      </c>
      <c r="E219" s="92">
        <v>8510000000</v>
      </c>
      <c r="F219" s="92"/>
      <c r="G219" s="39">
        <f>G226+G231+G236+G239+G242+G223+G220</f>
        <v>5534.0700000000006</v>
      </c>
      <c r="H219" s="39">
        <f t="shared" ref="H219:I219" si="82">H226+H231+H236+H239+H242+H223+H220</f>
        <v>2101.3200000000002</v>
      </c>
      <c r="I219" s="39">
        <f t="shared" si="82"/>
        <v>2065.6</v>
      </c>
    </row>
    <row r="220" spans="1:10" ht="30">
      <c r="A220" s="252">
        <v>204</v>
      </c>
      <c r="B220" s="232" t="s">
        <v>577</v>
      </c>
      <c r="C220" s="55" t="s">
        <v>160</v>
      </c>
      <c r="D220" s="55" t="s">
        <v>97</v>
      </c>
      <c r="E220" s="134">
        <v>8510029990</v>
      </c>
      <c r="F220" s="134"/>
      <c r="G220" s="39">
        <f>G221</f>
        <v>3366.8</v>
      </c>
      <c r="H220" s="39">
        <f t="shared" ref="H220:I221" si="83">H221</f>
        <v>0</v>
      </c>
      <c r="I220" s="39">
        <f t="shared" si="83"/>
        <v>0</v>
      </c>
    </row>
    <row r="221" spans="1:10">
      <c r="A221" s="252">
        <v>205</v>
      </c>
      <c r="B221" s="280" t="s">
        <v>34</v>
      </c>
      <c r="C221" s="55" t="s">
        <v>160</v>
      </c>
      <c r="D221" s="55" t="s">
        <v>97</v>
      </c>
      <c r="E221" s="134">
        <v>8510029990</v>
      </c>
      <c r="F221" s="134">
        <v>800</v>
      </c>
      <c r="G221" s="39">
        <f>G222</f>
        <v>3366.8</v>
      </c>
      <c r="H221" s="39">
        <f t="shared" si="83"/>
        <v>0</v>
      </c>
      <c r="I221" s="39">
        <f t="shared" si="83"/>
        <v>0</v>
      </c>
    </row>
    <row r="222" spans="1:10">
      <c r="A222" s="252">
        <v>206</v>
      </c>
      <c r="B222" s="280" t="s">
        <v>35</v>
      </c>
      <c r="C222" s="55" t="s">
        <v>160</v>
      </c>
      <c r="D222" s="55" t="s">
        <v>97</v>
      </c>
      <c r="E222" s="134">
        <v>8510029990</v>
      </c>
      <c r="F222" s="134">
        <v>870</v>
      </c>
      <c r="G222" s="39">
        <v>3366.8</v>
      </c>
      <c r="H222" s="39">
        <v>0</v>
      </c>
      <c r="I222" s="39">
        <v>0</v>
      </c>
      <c r="J222" s="240">
        <v>3366.8</v>
      </c>
    </row>
    <row r="223" spans="1:10" ht="30">
      <c r="A223" s="252">
        <v>207</v>
      </c>
      <c r="B223" s="193" t="s">
        <v>551</v>
      </c>
      <c r="C223" s="55" t="s">
        <v>160</v>
      </c>
      <c r="D223" s="55" t="s">
        <v>97</v>
      </c>
      <c r="E223" s="134">
        <v>8510054690</v>
      </c>
      <c r="F223" s="134"/>
      <c r="G223" s="39">
        <f>G224</f>
        <v>143</v>
      </c>
      <c r="H223" s="39">
        <f t="shared" ref="H223:I224" si="84">H224</f>
        <v>0</v>
      </c>
      <c r="I223" s="39">
        <f t="shared" si="84"/>
        <v>0</v>
      </c>
    </row>
    <row r="224" spans="1:10">
      <c r="A224" s="252">
        <v>208</v>
      </c>
      <c r="B224" s="195" t="s">
        <v>22</v>
      </c>
      <c r="C224" s="55" t="s">
        <v>160</v>
      </c>
      <c r="D224" s="55" t="s">
        <v>97</v>
      </c>
      <c r="E224" s="134">
        <v>8510054690</v>
      </c>
      <c r="F224" s="134">
        <v>200</v>
      </c>
      <c r="G224" s="39">
        <f>G225</f>
        <v>143</v>
      </c>
      <c r="H224" s="39">
        <f t="shared" si="84"/>
        <v>0</v>
      </c>
      <c r="I224" s="39">
        <f t="shared" si="84"/>
        <v>0</v>
      </c>
    </row>
    <row r="225" spans="1:12">
      <c r="A225" s="252">
        <v>209</v>
      </c>
      <c r="B225" s="195" t="s">
        <v>23</v>
      </c>
      <c r="C225" s="55" t="s">
        <v>160</v>
      </c>
      <c r="D225" s="55" t="s">
        <v>97</v>
      </c>
      <c r="E225" s="134">
        <v>8510054690</v>
      </c>
      <c r="F225" s="134">
        <v>240</v>
      </c>
      <c r="G225" s="39">
        <v>143</v>
      </c>
      <c r="H225" s="39">
        <v>0</v>
      </c>
      <c r="I225" s="39">
        <v>0</v>
      </c>
      <c r="J225" s="213">
        <v>143</v>
      </c>
    </row>
    <row r="226" spans="1:12" ht="45">
      <c r="A226" s="252">
        <v>210</v>
      </c>
      <c r="B226" s="44" t="s">
        <v>38</v>
      </c>
      <c r="C226" s="55" t="s">
        <v>160</v>
      </c>
      <c r="D226" s="55" t="s">
        <v>97</v>
      </c>
      <c r="E226" s="59">
        <v>8510074290</v>
      </c>
      <c r="F226" s="59"/>
      <c r="G226" s="39">
        <f>G227+G229</f>
        <v>42.9</v>
      </c>
      <c r="H226" s="39">
        <f>H227+H229</f>
        <v>53.2</v>
      </c>
      <c r="I226" s="39">
        <f>I227+I229</f>
        <v>53.2</v>
      </c>
    </row>
    <row r="227" spans="1:12" ht="45">
      <c r="A227" s="252">
        <v>211</v>
      </c>
      <c r="B227" s="64" t="s">
        <v>17</v>
      </c>
      <c r="C227" s="55" t="s">
        <v>160</v>
      </c>
      <c r="D227" s="55" t="s">
        <v>97</v>
      </c>
      <c r="E227" s="59">
        <v>8510074290</v>
      </c>
      <c r="F227" s="59">
        <v>100</v>
      </c>
      <c r="G227" s="39">
        <f>G228</f>
        <v>40.94</v>
      </c>
      <c r="H227" s="39">
        <f t="shared" ref="H227:I227" si="85">H228</f>
        <v>51.24</v>
      </c>
      <c r="I227" s="39">
        <f t="shared" si="85"/>
        <v>51.24</v>
      </c>
    </row>
    <row r="228" spans="1:12">
      <c r="A228" s="252">
        <v>212</v>
      </c>
      <c r="B228" s="64" t="s">
        <v>18</v>
      </c>
      <c r="C228" s="55" t="s">
        <v>160</v>
      </c>
      <c r="D228" s="55" t="s">
        <v>97</v>
      </c>
      <c r="E228" s="59">
        <v>8510074290</v>
      </c>
      <c r="F228" s="59">
        <v>120</v>
      </c>
      <c r="G228" s="39">
        <f>36.64+4.3</f>
        <v>40.94</v>
      </c>
      <c r="H228" s="39">
        <f>42.74+8.5</f>
        <v>51.24</v>
      </c>
      <c r="I228" s="39">
        <f>42.74+8.5</f>
        <v>51.24</v>
      </c>
      <c r="J228" s="213">
        <v>4.3</v>
      </c>
      <c r="K228" s="213">
        <v>8.5</v>
      </c>
      <c r="L228" s="213">
        <v>8.5</v>
      </c>
    </row>
    <row r="229" spans="1:12">
      <c r="A229" s="252">
        <v>213</v>
      </c>
      <c r="B229" s="64" t="s">
        <v>22</v>
      </c>
      <c r="C229" s="55" t="s">
        <v>160</v>
      </c>
      <c r="D229" s="55" t="s">
        <v>97</v>
      </c>
      <c r="E229" s="59">
        <v>8510074290</v>
      </c>
      <c r="F229" s="59">
        <v>200</v>
      </c>
      <c r="G229" s="39">
        <f>G230</f>
        <v>1.96</v>
      </c>
      <c r="H229" s="39">
        <f t="shared" ref="H229:I229" si="86">H230</f>
        <v>1.96</v>
      </c>
      <c r="I229" s="39">
        <f t="shared" si="86"/>
        <v>1.96</v>
      </c>
    </row>
    <row r="230" spans="1:12">
      <c r="A230" s="252">
        <v>214</v>
      </c>
      <c r="B230" s="64" t="s">
        <v>23</v>
      </c>
      <c r="C230" s="55" t="s">
        <v>160</v>
      </c>
      <c r="D230" s="55" t="s">
        <v>97</v>
      </c>
      <c r="E230" s="59">
        <v>8510074290</v>
      </c>
      <c r="F230" s="59">
        <v>240</v>
      </c>
      <c r="G230" s="39">
        <v>1.96</v>
      </c>
      <c r="H230" s="39">
        <v>1.96</v>
      </c>
      <c r="I230" s="39">
        <v>1.96</v>
      </c>
    </row>
    <row r="231" spans="1:12" ht="30">
      <c r="A231" s="252">
        <v>215</v>
      </c>
      <c r="B231" s="61" t="s">
        <v>32</v>
      </c>
      <c r="C231" s="55" t="s">
        <v>160</v>
      </c>
      <c r="D231" s="55" t="s">
        <v>97</v>
      </c>
      <c r="E231" s="59">
        <v>8510076040</v>
      </c>
      <c r="F231" s="59"/>
      <c r="G231" s="39">
        <f>G232+G234</f>
        <v>739.5</v>
      </c>
      <c r="H231" s="39">
        <f>H232+H234</f>
        <v>790.3</v>
      </c>
      <c r="I231" s="39">
        <f>I232+I234</f>
        <v>790.3</v>
      </c>
    </row>
    <row r="232" spans="1:12" ht="45">
      <c r="A232" s="252">
        <v>216</v>
      </c>
      <c r="B232" s="64" t="s">
        <v>17</v>
      </c>
      <c r="C232" s="55" t="s">
        <v>160</v>
      </c>
      <c r="D232" s="55" t="s">
        <v>97</v>
      </c>
      <c r="E232" s="59">
        <v>8510076040</v>
      </c>
      <c r="F232" s="59">
        <v>100</v>
      </c>
      <c r="G232" s="39">
        <f>G233</f>
        <v>681.82</v>
      </c>
      <c r="H232" s="39">
        <f t="shared" ref="H232:I232" si="87">H233</f>
        <v>732.62</v>
      </c>
      <c r="I232" s="39">
        <f t="shared" si="87"/>
        <v>732.62</v>
      </c>
    </row>
    <row r="233" spans="1:12">
      <c r="A233" s="252">
        <v>217</v>
      </c>
      <c r="B233" s="64" t="s">
        <v>18</v>
      </c>
      <c r="C233" s="55" t="s">
        <v>160</v>
      </c>
      <c r="D233" s="55" t="s">
        <v>97</v>
      </c>
      <c r="E233" s="89">
        <v>8510076040</v>
      </c>
      <c r="F233" s="59">
        <v>120</v>
      </c>
      <c r="G233" s="39">
        <f>610.62+71.2</f>
        <v>681.82</v>
      </c>
      <c r="H233" s="39">
        <f>610.62+122</f>
        <v>732.62</v>
      </c>
      <c r="I233" s="39">
        <f>610.62+122</f>
        <v>732.62</v>
      </c>
      <c r="J233" s="213">
        <v>71.2</v>
      </c>
      <c r="K233" s="213">
        <v>122</v>
      </c>
      <c r="L233" s="213">
        <v>122</v>
      </c>
    </row>
    <row r="234" spans="1:12">
      <c r="A234" s="252">
        <v>218</v>
      </c>
      <c r="B234" s="64" t="s">
        <v>22</v>
      </c>
      <c r="C234" s="55" t="s">
        <v>160</v>
      </c>
      <c r="D234" s="55" t="s">
        <v>97</v>
      </c>
      <c r="E234" s="89">
        <v>8510076040</v>
      </c>
      <c r="F234" s="59">
        <v>200</v>
      </c>
      <c r="G234" s="39">
        <f>G235</f>
        <v>57.68</v>
      </c>
      <c r="H234" s="39">
        <f t="shared" ref="H234:I234" si="88">H235</f>
        <v>57.68</v>
      </c>
      <c r="I234" s="39">
        <f t="shared" si="88"/>
        <v>57.68</v>
      </c>
    </row>
    <row r="235" spans="1:12">
      <c r="A235" s="252">
        <v>219</v>
      </c>
      <c r="B235" s="64" t="s">
        <v>23</v>
      </c>
      <c r="C235" s="55" t="s">
        <v>160</v>
      </c>
      <c r="D235" s="55" t="s">
        <v>97</v>
      </c>
      <c r="E235" s="89">
        <v>8510076040</v>
      </c>
      <c r="F235" s="59">
        <v>240</v>
      </c>
      <c r="G235" s="39">
        <v>57.68</v>
      </c>
      <c r="H235" s="39">
        <v>57.68</v>
      </c>
      <c r="I235" s="39">
        <v>57.68</v>
      </c>
    </row>
    <row r="236" spans="1:12" ht="45">
      <c r="A236" s="252">
        <v>220</v>
      </c>
      <c r="B236" s="61" t="s">
        <v>39</v>
      </c>
      <c r="C236" s="55" t="s">
        <v>160</v>
      </c>
      <c r="D236" s="55" t="s">
        <v>97</v>
      </c>
      <c r="E236" s="59">
        <v>8510092020</v>
      </c>
      <c r="F236" s="59"/>
      <c r="G236" s="39">
        <f>G237</f>
        <v>1000</v>
      </c>
      <c r="H236" s="39">
        <f t="shared" ref="H236:I236" si="89">H237</f>
        <v>1000</v>
      </c>
      <c r="I236" s="39">
        <f t="shared" si="89"/>
        <v>1000</v>
      </c>
    </row>
    <row r="237" spans="1:12">
      <c r="A237" s="252">
        <v>221</v>
      </c>
      <c r="B237" s="64" t="s">
        <v>34</v>
      </c>
      <c r="C237" s="55" t="s">
        <v>160</v>
      </c>
      <c r="D237" s="55" t="s">
        <v>97</v>
      </c>
      <c r="E237" s="59">
        <v>8510092020</v>
      </c>
      <c r="F237" s="59">
        <v>800</v>
      </c>
      <c r="G237" s="39">
        <f>G238</f>
        <v>1000</v>
      </c>
      <c r="H237" s="39">
        <f t="shared" ref="H237:I237" si="90">H238</f>
        <v>1000</v>
      </c>
      <c r="I237" s="39">
        <f t="shared" si="90"/>
        <v>1000</v>
      </c>
    </row>
    <row r="238" spans="1:12">
      <c r="A238" s="252">
        <v>222</v>
      </c>
      <c r="B238" s="41" t="s">
        <v>40</v>
      </c>
      <c r="C238" s="55" t="s">
        <v>160</v>
      </c>
      <c r="D238" s="55" t="s">
        <v>97</v>
      </c>
      <c r="E238" s="59">
        <v>8510092020</v>
      </c>
      <c r="F238" s="59">
        <v>830</v>
      </c>
      <c r="G238" s="39">
        <v>1000</v>
      </c>
      <c r="H238" s="39">
        <v>1000</v>
      </c>
      <c r="I238" s="39">
        <v>1000</v>
      </c>
    </row>
    <row r="239" spans="1:12" ht="30">
      <c r="A239" s="252">
        <v>223</v>
      </c>
      <c r="B239" s="112" t="s">
        <v>254</v>
      </c>
      <c r="C239" s="48" t="s">
        <v>160</v>
      </c>
      <c r="D239" s="55" t="s">
        <v>97</v>
      </c>
      <c r="E239" s="176" t="s">
        <v>278</v>
      </c>
      <c r="F239" s="59"/>
      <c r="G239" s="39">
        <f>G240</f>
        <v>195.2</v>
      </c>
      <c r="H239" s="39">
        <f t="shared" ref="H239:I240" si="91">H240</f>
        <v>200.2</v>
      </c>
      <c r="I239" s="39">
        <f t="shared" si="91"/>
        <v>200.2</v>
      </c>
    </row>
    <row r="240" spans="1:12">
      <c r="A240" s="252">
        <v>224</v>
      </c>
      <c r="B240" s="64" t="s">
        <v>22</v>
      </c>
      <c r="C240" s="48" t="s">
        <v>160</v>
      </c>
      <c r="D240" s="55" t="s">
        <v>97</v>
      </c>
      <c r="E240" s="176" t="s">
        <v>278</v>
      </c>
      <c r="F240" s="59">
        <v>200</v>
      </c>
      <c r="G240" s="39">
        <f>G241</f>
        <v>195.2</v>
      </c>
      <c r="H240" s="39">
        <f t="shared" si="91"/>
        <v>200.2</v>
      </c>
      <c r="I240" s="39">
        <f t="shared" si="91"/>
        <v>200.2</v>
      </c>
    </row>
    <row r="241" spans="1:12">
      <c r="A241" s="252">
        <v>225</v>
      </c>
      <c r="B241" s="64" t="s">
        <v>23</v>
      </c>
      <c r="C241" s="48" t="s">
        <v>160</v>
      </c>
      <c r="D241" s="55" t="s">
        <v>97</v>
      </c>
      <c r="E241" s="176" t="s">
        <v>278</v>
      </c>
      <c r="F241" s="59">
        <v>240</v>
      </c>
      <c r="G241" s="39">
        <f>174.2+26-5</f>
        <v>195.2</v>
      </c>
      <c r="H241" s="39">
        <f>174.2+26</f>
        <v>200.2</v>
      </c>
      <c r="I241" s="39">
        <f>174.2+26</f>
        <v>200.2</v>
      </c>
      <c r="J241" s="240">
        <v>-5</v>
      </c>
    </row>
    <row r="242" spans="1:12" s="98" customFormat="1">
      <c r="A242" s="252">
        <v>226</v>
      </c>
      <c r="B242" s="173" t="s">
        <v>502</v>
      </c>
      <c r="C242" s="171" t="s">
        <v>160</v>
      </c>
      <c r="D242" s="171" t="s">
        <v>97</v>
      </c>
      <c r="E242" s="172">
        <v>8510084570</v>
      </c>
      <c r="F242" s="172"/>
      <c r="G242" s="39">
        <f>G243</f>
        <v>46.67</v>
      </c>
      <c r="H242" s="39">
        <f t="shared" ref="H242:I243" si="92">H243</f>
        <v>57.62</v>
      </c>
      <c r="I242" s="39">
        <f t="shared" si="92"/>
        <v>21.9</v>
      </c>
      <c r="J242" s="110"/>
      <c r="K242" s="110"/>
      <c r="L242" s="110"/>
    </row>
    <row r="243" spans="1:12" s="98" customFormat="1">
      <c r="A243" s="252">
        <v>227</v>
      </c>
      <c r="B243" s="174" t="s">
        <v>22</v>
      </c>
      <c r="C243" s="171" t="s">
        <v>160</v>
      </c>
      <c r="D243" s="171" t="s">
        <v>97</v>
      </c>
      <c r="E243" s="172">
        <v>8510084570</v>
      </c>
      <c r="F243" s="172">
        <v>200</v>
      </c>
      <c r="G243" s="39">
        <f>G244</f>
        <v>46.67</v>
      </c>
      <c r="H243" s="39">
        <f t="shared" si="92"/>
        <v>57.62</v>
      </c>
      <c r="I243" s="39">
        <f t="shared" si="92"/>
        <v>21.9</v>
      </c>
      <c r="J243" s="110"/>
      <c r="K243" s="110"/>
      <c r="L243" s="110"/>
    </row>
    <row r="244" spans="1:12" s="98" customFormat="1">
      <c r="A244" s="252">
        <v>228</v>
      </c>
      <c r="B244" s="174" t="s">
        <v>23</v>
      </c>
      <c r="C244" s="171" t="s">
        <v>160</v>
      </c>
      <c r="D244" s="171" t="s">
        <v>97</v>
      </c>
      <c r="E244" s="172">
        <v>8510084570</v>
      </c>
      <c r="F244" s="172">
        <v>240</v>
      </c>
      <c r="G244" s="39">
        <f>35.72+10.95</f>
        <v>46.67</v>
      </c>
      <c r="H244" s="39">
        <f>35.72+21.9</f>
        <v>57.62</v>
      </c>
      <c r="I244" s="39">
        <v>21.9</v>
      </c>
      <c r="J244" s="240">
        <v>10.95</v>
      </c>
      <c r="K244" s="240">
        <v>21.9</v>
      </c>
      <c r="L244" s="240">
        <v>21.9</v>
      </c>
    </row>
    <row r="245" spans="1:12" ht="30">
      <c r="A245" s="252">
        <v>229</v>
      </c>
      <c r="B245" s="94" t="s">
        <v>279</v>
      </c>
      <c r="C245" s="55" t="s">
        <v>160</v>
      </c>
      <c r="D245" s="55" t="s">
        <v>97</v>
      </c>
      <c r="E245" s="59">
        <v>1100000000</v>
      </c>
      <c r="F245" s="59"/>
      <c r="G245" s="39">
        <f>G246</f>
        <v>729.6</v>
      </c>
      <c r="H245" s="39">
        <f t="shared" ref="H245:I245" si="93">H246</f>
        <v>780.5</v>
      </c>
      <c r="I245" s="39">
        <f t="shared" si="93"/>
        <v>780.5</v>
      </c>
    </row>
    <row r="246" spans="1:12">
      <c r="A246" s="252">
        <v>230</v>
      </c>
      <c r="B246" s="60" t="s">
        <v>41</v>
      </c>
      <c r="C246" s="55" t="s">
        <v>160</v>
      </c>
      <c r="D246" s="55" t="s">
        <v>97</v>
      </c>
      <c r="E246" s="59">
        <v>1190000000</v>
      </c>
      <c r="F246" s="59"/>
      <c r="G246" s="39">
        <f>G247</f>
        <v>729.6</v>
      </c>
      <c r="H246" s="39">
        <f t="shared" ref="H246:I246" si="94">H247</f>
        <v>780.5</v>
      </c>
      <c r="I246" s="39">
        <f t="shared" si="94"/>
        <v>780.5</v>
      </c>
    </row>
    <row r="247" spans="1:12" ht="30">
      <c r="A247" s="252">
        <v>231</v>
      </c>
      <c r="B247" s="93" t="s">
        <v>280</v>
      </c>
      <c r="C247" s="55" t="s">
        <v>160</v>
      </c>
      <c r="D247" s="55" t="s">
        <v>97</v>
      </c>
      <c r="E247" s="59">
        <v>1190074670</v>
      </c>
      <c r="F247" s="59"/>
      <c r="G247" s="39">
        <f>G248+G250</f>
        <v>729.6</v>
      </c>
      <c r="H247" s="39">
        <f>H248+H250</f>
        <v>780.5</v>
      </c>
      <c r="I247" s="39">
        <f>I248+I250</f>
        <v>780.5</v>
      </c>
    </row>
    <row r="248" spans="1:12" ht="45">
      <c r="A248" s="252">
        <v>232</v>
      </c>
      <c r="B248" s="64" t="s">
        <v>17</v>
      </c>
      <c r="C248" s="55" t="s">
        <v>160</v>
      </c>
      <c r="D248" s="55" t="s">
        <v>97</v>
      </c>
      <c r="E248" s="92">
        <v>1190074670</v>
      </c>
      <c r="F248" s="59">
        <v>100</v>
      </c>
      <c r="G248" s="39">
        <f>G249</f>
        <v>681.82</v>
      </c>
      <c r="H248" s="39">
        <f t="shared" ref="H248:I248" si="95">H249</f>
        <v>732.72</v>
      </c>
      <c r="I248" s="39">
        <f t="shared" si="95"/>
        <v>732.72</v>
      </c>
    </row>
    <row r="249" spans="1:12">
      <c r="A249" s="252">
        <v>233</v>
      </c>
      <c r="B249" s="64" t="s">
        <v>18</v>
      </c>
      <c r="C249" s="55" t="s">
        <v>160</v>
      </c>
      <c r="D249" s="55" t="s">
        <v>97</v>
      </c>
      <c r="E249" s="92">
        <v>1190074670</v>
      </c>
      <c r="F249" s="59">
        <v>120</v>
      </c>
      <c r="G249" s="39">
        <f>610.62+71.2</f>
        <v>681.82</v>
      </c>
      <c r="H249" s="39">
        <f>610.62+122.1</f>
        <v>732.72</v>
      </c>
      <c r="I249" s="39">
        <f>610.62+122.1</f>
        <v>732.72</v>
      </c>
      <c r="J249" s="213">
        <v>71.2</v>
      </c>
      <c r="K249" s="213">
        <v>122.1</v>
      </c>
      <c r="L249" s="213">
        <v>122.1</v>
      </c>
    </row>
    <row r="250" spans="1:12">
      <c r="A250" s="252">
        <v>234</v>
      </c>
      <c r="B250" s="64" t="s">
        <v>22</v>
      </c>
      <c r="C250" s="55" t="s">
        <v>160</v>
      </c>
      <c r="D250" s="55" t="s">
        <v>97</v>
      </c>
      <c r="E250" s="92">
        <v>1190074670</v>
      </c>
      <c r="F250" s="59">
        <v>200</v>
      </c>
      <c r="G250" s="39">
        <f>G251</f>
        <v>47.78</v>
      </c>
      <c r="H250" s="39">
        <f t="shared" ref="H250:I250" si="96">H251</f>
        <v>47.78</v>
      </c>
      <c r="I250" s="39">
        <f t="shared" si="96"/>
        <v>47.78</v>
      </c>
    </row>
    <row r="251" spans="1:12">
      <c r="A251" s="252">
        <v>235</v>
      </c>
      <c r="B251" s="64" t="s">
        <v>23</v>
      </c>
      <c r="C251" s="55" t="s">
        <v>160</v>
      </c>
      <c r="D251" s="55" t="s">
        <v>97</v>
      </c>
      <c r="E251" s="92">
        <v>1190074670</v>
      </c>
      <c r="F251" s="59">
        <v>240</v>
      </c>
      <c r="G251" s="39">
        <v>47.78</v>
      </c>
      <c r="H251" s="39">
        <v>47.78</v>
      </c>
      <c r="I251" s="39">
        <v>47.78</v>
      </c>
    </row>
    <row r="252" spans="1:12">
      <c r="A252" s="252">
        <v>236</v>
      </c>
      <c r="B252" s="120" t="s">
        <v>101</v>
      </c>
      <c r="C252" s="48" t="s">
        <v>160</v>
      </c>
      <c r="D252" s="55" t="s">
        <v>102</v>
      </c>
      <c r="E252" s="134"/>
      <c r="F252" s="134"/>
      <c r="G252" s="39">
        <f t="shared" ref="G252:G257" si="97">G253</f>
        <v>592.77</v>
      </c>
      <c r="H252" s="39">
        <f t="shared" ref="H252:I257" si="98">H253</f>
        <v>0</v>
      </c>
      <c r="I252" s="39">
        <f t="shared" si="98"/>
        <v>0</v>
      </c>
    </row>
    <row r="253" spans="1:12" ht="30">
      <c r="A253" s="252">
        <v>237</v>
      </c>
      <c r="B253" s="234" t="s">
        <v>77</v>
      </c>
      <c r="C253" s="48" t="s">
        <v>160</v>
      </c>
      <c r="D253" s="55" t="s">
        <v>103</v>
      </c>
      <c r="E253" s="134"/>
      <c r="F253" s="134"/>
      <c r="G253" s="39">
        <f t="shared" si="97"/>
        <v>592.77</v>
      </c>
      <c r="H253" s="39">
        <f t="shared" si="98"/>
        <v>0</v>
      </c>
      <c r="I253" s="39">
        <f t="shared" si="98"/>
        <v>0</v>
      </c>
    </row>
    <row r="254" spans="1:12">
      <c r="A254" s="252">
        <v>238</v>
      </c>
      <c r="B254" s="232" t="s">
        <v>270</v>
      </c>
      <c r="C254" s="55" t="s">
        <v>160</v>
      </c>
      <c r="D254" s="55" t="s">
        <v>103</v>
      </c>
      <c r="E254" s="134">
        <v>8500000000</v>
      </c>
      <c r="F254" s="134"/>
      <c r="G254" s="39">
        <f t="shared" si="97"/>
        <v>592.77</v>
      </c>
      <c r="H254" s="39">
        <f t="shared" si="98"/>
        <v>0</v>
      </c>
      <c r="I254" s="39">
        <f t="shared" si="98"/>
        <v>0</v>
      </c>
    </row>
    <row r="255" spans="1:12">
      <c r="A255" s="252">
        <v>239</v>
      </c>
      <c r="B255" s="232" t="s">
        <v>271</v>
      </c>
      <c r="C255" s="55" t="s">
        <v>160</v>
      </c>
      <c r="D255" s="55" t="s">
        <v>103</v>
      </c>
      <c r="E255" s="134">
        <v>8510000000</v>
      </c>
      <c r="F255" s="134"/>
      <c r="G255" s="39">
        <f>G256+G259</f>
        <v>592.77</v>
      </c>
      <c r="H255" s="39">
        <f t="shared" si="98"/>
        <v>0</v>
      </c>
      <c r="I255" s="39">
        <f t="shared" si="98"/>
        <v>0</v>
      </c>
    </row>
    <row r="256" spans="1:12" ht="60">
      <c r="A256" s="252">
        <v>240</v>
      </c>
      <c r="B256" s="232" t="s">
        <v>578</v>
      </c>
      <c r="C256" s="55" t="s">
        <v>160</v>
      </c>
      <c r="D256" s="55" t="s">
        <v>103</v>
      </c>
      <c r="E256" s="134" t="s">
        <v>575</v>
      </c>
      <c r="F256" s="134"/>
      <c r="G256" s="39">
        <f t="shared" si="97"/>
        <v>170.2</v>
      </c>
      <c r="H256" s="39">
        <f t="shared" si="98"/>
        <v>0</v>
      </c>
      <c r="I256" s="39">
        <f t="shared" si="98"/>
        <v>0</v>
      </c>
    </row>
    <row r="257" spans="1:12">
      <c r="A257" s="252">
        <v>241</v>
      </c>
      <c r="B257" s="234" t="s">
        <v>22</v>
      </c>
      <c r="C257" s="55" t="s">
        <v>160</v>
      </c>
      <c r="D257" s="55" t="s">
        <v>103</v>
      </c>
      <c r="E257" s="134" t="s">
        <v>575</v>
      </c>
      <c r="F257" s="134">
        <v>200</v>
      </c>
      <c r="G257" s="39">
        <f t="shared" si="97"/>
        <v>170.2</v>
      </c>
      <c r="H257" s="39">
        <f t="shared" si="98"/>
        <v>0</v>
      </c>
      <c r="I257" s="39">
        <f t="shared" si="98"/>
        <v>0</v>
      </c>
    </row>
    <row r="258" spans="1:12">
      <c r="A258" s="252">
        <v>242</v>
      </c>
      <c r="B258" s="234" t="s">
        <v>23</v>
      </c>
      <c r="C258" s="55" t="s">
        <v>160</v>
      </c>
      <c r="D258" s="55" t="s">
        <v>103</v>
      </c>
      <c r="E258" s="134" t="s">
        <v>575</v>
      </c>
      <c r="F258" s="134">
        <v>240</v>
      </c>
      <c r="G258" s="39">
        <v>170.2</v>
      </c>
      <c r="H258" s="39">
        <v>0</v>
      </c>
      <c r="I258" s="39">
        <v>0</v>
      </c>
      <c r="J258" s="213">
        <v>170.2</v>
      </c>
    </row>
    <row r="259" spans="1:12" ht="30">
      <c r="A259" s="278">
        <v>243</v>
      </c>
      <c r="B259" s="281" t="s">
        <v>591</v>
      </c>
      <c r="C259" s="279"/>
      <c r="D259" s="279"/>
      <c r="E259" s="278">
        <v>8510000270</v>
      </c>
      <c r="F259" s="278"/>
      <c r="G259" s="39">
        <f>G260</f>
        <v>422.57</v>
      </c>
      <c r="H259" s="39">
        <f t="shared" ref="H259:I260" si="99">H260</f>
        <v>0</v>
      </c>
      <c r="I259" s="39">
        <f t="shared" si="99"/>
        <v>0</v>
      </c>
      <c r="J259" s="213"/>
    </row>
    <row r="260" spans="1:12">
      <c r="A260" s="278">
        <v>244</v>
      </c>
      <c r="B260" s="280" t="s">
        <v>22</v>
      </c>
      <c r="C260" s="279" t="s">
        <v>160</v>
      </c>
      <c r="D260" s="279" t="s">
        <v>103</v>
      </c>
      <c r="E260" s="278">
        <v>8510000270</v>
      </c>
      <c r="F260" s="278">
        <v>200</v>
      </c>
      <c r="G260" s="39">
        <f>G261</f>
        <v>422.57</v>
      </c>
      <c r="H260" s="39">
        <f t="shared" si="99"/>
        <v>0</v>
      </c>
      <c r="I260" s="39">
        <f t="shared" si="99"/>
        <v>0</v>
      </c>
      <c r="J260" s="213"/>
    </row>
    <row r="261" spans="1:12">
      <c r="A261" s="278">
        <v>245</v>
      </c>
      <c r="B261" s="280" t="s">
        <v>23</v>
      </c>
      <c r="C261" s="279" t="s">
        <v>160</v>
      </c>
      <c r="D261" s="279" t="s">
        <v>103</v>
      </c>
      <c r="E261" s="278">
        <v>8510000270</v>
      </c>
      <c r="F261" s="278">
        <v>240</v>
      </c>
      <c r="G261" s="39">
        <v>422.57</v>
      </c>
      <c r="H261" s="39">
        <v>0</v>
      </c>
      <c r="I261" s="39">
        <v>0</v>
      </c>
      <c r="J261" s="240">
        <v>422.57</v>
      </c>
    </row>
    <row r="262" spans="1:12">
      <c r="A262" s="278">
        <v>246</v>
      </c>
      <c r="B262" s="80" t="s">
        <v>104</v>
      </c>
      <c r="C262" s="55" t="s">
        <v>160</v>
      </c>
      <c r="D262" s="55" t="s">
        <v>105</v>
      </c>
      <c r="E262" s="59"/>
      <c r="F262" s="59"/>
      <c r="G262" s="39">
        <f>G263+G271+G306+G280+G300</f>
        <v>41666.456720000002</v>
      </c>
      <c r="H262" s="39">
        <f>H263+H271+H306+H280</f>
        <v>36994.804000000004</v>
      </c>
      <c r="I262" s="39">
        <f>I263+I271+I306+I280</f>
        <v>36667.57</v>
      </c>
    </row>
    <row r="263" spans="1:12">
      <c r="A263" s="278">
        <v>247</v>
      </c>
      <c r="B263" s="60" t="s">
        <v>43</v>
      </c>
      <c r="C263" s="55" t="s">
        <v>160</v>
      </c>
      <c r="D263" s="55" t="s">
        <v>108</v>
      </c>
      <c r="E263" s="59"/>
      <c r="F263" s="59"/>
      <c r="G263" s="39">
        <f>G264</f>
        <v>769.1</v>
      </c>
      <c r="H263" s="39">
        <f t="shared" ref="H263:I263" si="100">H264</f>
        <v>820</v>
      </c>
      <c r="I263" s="39">
        <f t="shared" si="100"/>
        <v>820</v>
      </c>
    </row>
    <row r="264" spans="1:12" ht="30">
      <c r="A264" s="278">
        <v>248</v>
      </c>
      <c r="B264" s="41" t="s">
        <v>432</v>
      </c>
      <c r="C264" s="55" t="s">
        <v>160</v>
      </c>
      <c r="D264" s="55" t="s">
        <v>108</v>
      </c>
      <c r="E264" s="55" t="s">
        <v>189</v>
      </c>
      <c r="F264" s="59"/>
      <c r="G264" s="39">
        <f>G265</f>
        <v>769.1</v>
      </c>
      <c r="H264" s="39">
        <f t="shared" ref="H264:I264" si="101">H265</f>
        <v>820</v>
      </c>
      <c r="I264" s="39">
        <f t="shared" si="101"/>
        <v>820</v>
      </c>
    </row>
    <row r="265" spans="1:12">
      <c r="A265" s="278">
        <v>249</v>
      </c>
      <c r="B265" s="41" t="s">
        <v>281</v>
      </c>
      <c r="C265" s="55" t="s">
        <v>160</v>
      </c>
      <c r="D265" s="55" t="s">
        <v>108</v>
      </c>
      <c r="E265" s="55" t="s">
        <v>433</v>
      </c>
      <c r="F265" s="59"/>
      <c r="G265" s="39">
        <f>G266</f>
        <v>769.1</v>
      </c>
      <c r="H265" s="39">
        <f t="shared" ref="H265:I265" si="102">H266</f>
        <v>820</v>
      </c>
      <c r="I265" s="39">
        <f t="shared" si="102"/>
        <v>820</v>
      </c>
    </row>
    <row r="266" spans="1:12" ht="30">
      <c r="A266" s="278">
        <v>250</v>
      </c>
      <c r="B266" s="56" t="s">
        <v>44</v>
      </c>
      <c r="C266" s="55" t="s">
        <v>160</v>
      </c>
      <c r="D266" s="55" t="s">
        <v>108</v>
      </c>
      <c r="E266" s="55" t="s">
        <v>434</v>
      </c>
      <c r="F266" s="59"/>
      <c r="G266" s="39">
        <f>G267+G269</f>
        <v>769.1</v>
      </c>
      <c r="H266" s="39">
        <f t="shared" ref="H266:I266" si="103">H267+H269</f>
        <v>820</v>
      </c>
      <c r="I266" s="39">
        <f t="shared" si="103"/>
        <v>820</v>
      </c>
    </row>
    <row r="267" spans="1:12" ht="45">
      <c r="A267" s="278">
        <v>251</v>
      </c>
      <c r="B267" s="64" t="s">
        <v>17</v>
      </c>
      <c r="C267" s="55" t="s">
        <v>160</v>
      </c>
      <c r="D267" s="55" t="s">
        <v>108</v>
      </c>
      <c r="E267" s="55" t="s">
        <v>434</v>
      </c>
      <c r="F267" s="59">
        <v>100</v>
      </c>
      <c r="G267" s="39">
        <f>G268</f>
        <v>697.1</v>
      </c>
      <c r="H267" s="39">
        <f t="shared" ref="H267:I267" si="104">H268</f>
        <v>748</v>
      </c>
      <c r="I267" s="39">
        <f t="shared" si="104"/>
        <v>748</v>
      </c>
    </row>
    <row r="268" spans="1:12">
      <c r="A268" s="278">
        <v>252</v>
      </c>
      <c r="B268" s="64" t="s">
        <v>18</v>
      </c>
      <c r="C268" s="55" t="s">
        <v>160</v>
      </c>
      <c r="D268" s="55" t="s">
        <v>108</v>
      </c>
      <c r="E268" s="55" t="s">
        <v>434</v>
      </c>
      <c r="F268" s="59">
        <v>120</v>
      </c>
      <c r="G268" s="39">
        <f>610.62+15.28+71.2</f>
        <v>697.1</v>
      </c>
      <c r="H268" s="39">
        <f>610.62+15.28+122.1</f>
        <v>748</v>
      </c>
      <c r="I268" s="39">
        <f>610.62+15.28+122.1</f>
        <v>748</v>
      </c>
      <c r="J268" s="213">
        <v>71.2</v>
      </c>
      <c r="K268" s="213">
        <v>122.1</v>
      </c>
      <c r="L268" s="213">
        <v>122.1</v>
      </c>
    </row>
    <row r="269" spans="1:12">
      <c r="A269" s="278">
        <v>253</v>
      </c>
      <c r="B269" s="64" t="s">
        <v>22</v>
      </c>
      <c r="C269" s="55" t="s">
        <v>160</v>
      </c>
      <c r="D269" s="55" t="s">
        <v>108</v>
      </c>
      <c r="E269" s="55" t="s">
        <v>434</v>
      </c>
      <c r="F269" s="59">
        <v>200</v>
      </c>
      <c r="G269" s="39">
        <f>G270</f>
        <v>72</v>
      </c>
      <c r="H269" s="39">
        <f t="shared" ref="H269:I269" si="105">H270</f>
        <v>72</v>
      </c>
      <c r="I269" s="39">
        <f t="shared" si="105"/>
        <v>72</v>
      </c>
    </row>
    <row r="270" spans="1:12">
      <c r="A270" s="278">
        <v>254</v>
      </c>
      <c r="B270" s="64" t="s">
        <v>23</v>
      </c>
      <c r="C270" s="55" t="s">
        <v>160</v>
      </c>
      <c r="D270" s="55" t="s">
        <v>108</v>
      </c>
      <c r="E270" s="55" t="s">
        <v>434</v>
      </c>
      <c r="F270" s="59">
        <v>240</v>
      </c>
      <c r="G270" s="39">
        <v>72</v>
      </c>
      <c r="H270" s="39">
        <v>72</v>
      </c>
      <c r="I270" s="39">
        <v>72</v>
      </c>
    </row>
    <row r="271" spans="1:12">
      <c r="A271" s="278">
        <v>255</v>
      </c>
      <c r="B271" s="80" t="s">
        <v>42</v>
      </c>
      <c r="C271" s="55" t="s">
        <v>160</v>
      </c>
      <c r="D271" s="55" t="s">
        <v>109</v>
      </c>
      <c r="E271" s="59"/>
      <c r="F271" s="59"/>
      <c r="G271" s="39">
        <f>G272</f>
        <v>21221.62672</v>
      </c>
      <c r="H271" s="39">
        <f t="shared" ref="H271:I271" si="106">H272</f>
        <v>21221.63</v>
      </c>
      <c r="I271" s="39">
        <f t="shared" si="106"/>
        <v>21221.63</v>
      </c>
    </row>
    <row r="272" spans="1:12">
      <c r="A272" s="278">
        <v>256</v>
      </c>
      <c r="B272" s="60" t="s">
        <v>45</v>
      </c>
      <c r="C272" s="55" t="s">
        <v>160</v>
      </c>
      <c r="D272" s="55" t="s">
        <v>109</v>
      </c>
      <c r="E272" s="59">
        <v>1000000000</v>
      </c>
      <c r="F272" s="59"/>
      <c r="G272" s="39">
        <f>G273</f>
        <v>21221.62672</v>
      </c>
      <c r="H272" s="39">
        <f t="shared" ref="H272:I275" si="107">H273</f>
        <v>21221.63</v>
      </c>
      <c r="I272" s="39">
        <f t="shared" si="107"/>
        <v>21221.63</v>
      </c>
    </row>
    <row r="273" spans="1:11">
      <c r="A273" s="278">
        <v>257</v>
      </c>
      <c r="B273" s="107" t="s">
        <v>340</v>
      </c>
      <c r="C273" s="55" t="s">
        <v>160</v>
      </c>
      <c r="D273" s="55" t="s">
        <v>109</v>
      </c>
      <c r="E273" s="59">
        <v>1010000000</v>
      </c>
      <c r="F273" s="59"/>
      <c r="G273" s="39">
        <f>G274+G277</f>
        <v>21221.62672</v>
      </c>
      <c r="H273" s="39">
        <f>H274+H277</f>
        <v>21221.63</v>
      </c>
      <c r="I273" s="39">
        <f>I274+I277</f>
        <v>21221.63</v>
      </c>
    </row>
    <row r="274" spans="1:11" ht="75">
      <c r="A274" s="278">
        <v>258</v>
      </c>
      <c r="B274" s="61" t="s">
        <v>46</v>
      </c>
      <c r="C274" s="55" t="s">
        <v>160</v>
      </c>
      <c r="D274" s="55" t="s">
        <v>109</v>
      </c>
      <c r="E274" s="59">
        <v>1010023580</v>
      </c>
      <c r="F274" s="59"/>
      <c r="G274" s="39">
        <f>G275</f>
        <v>17330.726719999999</v>
      </c>
      <c r="H274" s="39">
        <f>H275</f>
        <v>17330.73</v>
      </c>
      <c r="I274" s="39">
        <f>I275</f>
        <v>17330.73</v>
      </c>
    </row>
    <row r="275" spans="1:11">
      <c r="A275" s="278">
        <v>259</v>
      </c>
      <c r="B275" s="64" t="s">
        <v>34</v>
      </c>
      <c r="C275" s="55" t="s">
        <v>160</v>
      </c>
      <c r="D275" s="55" t="s">
        <v>109</v>
      </c>
      <c r="E275" s="92">
        <v>1010023580</v>
      </c>
      <c r="F275" s="59">
        <v>800</v>
      </c>
      <c r="G275" s="39">
        <f>G276</f>
        <v>17330.726719999999</v>
      </c>
      <c r="H275" s="39">
        <f t="shared" si="107"/>
        <v>17330.73</v>
      </c>
      <c r="I275" s="39">
        <f t="shared" si="107"/>
        <v>17330.73</v>
      </c>
    </row>
    <row r="276" spans="1:11" ht="30">
      <c r="A276" s="278">
        <v>260</v>
      </c>
      <c r="B276" s="64" t="s">
        <v>47</v>
      </c>
      <c r="C276" s="55" t="s">
        <v>160</v>
      </c>
      <c r="D276" s="55" t="s">
        <v>109</v>
      </c>
      <c r="E276" s="92">
        <v>1010023580</v>
      </c>
      <c r="F276" s="59">
        <v>810</v>
      </c>
      <c r="G276" s="39">
        <f>17330.73-0.00328</f>
        <v>17330.726719999999</v>
      </c>
      <c r="H276" s="39">
        <v>17330.73</v>
      </c>
      <c r="I276" s="39">
        <v>17330.73</v>
      </c>
      <c r="J276" s="110">
        <v>-3.2799999999999999E-3</v>
      </c>
    </row>
    <row r="277" spans="1:11" ht="60">
      <c r="A277" s="278">
        <v>261</v>
      </c>
      <c r="B277" s="96" t="s">
        <v>282</v>
      </c>
      <c r="C277" s="55" t="s">
        <v>160</v>
      </c>
      <c r="D277" s="55" t="s">
        <v>109</v>
      </c>
      <c r="E277" s="92">
        <v>1010023590</v>
      </c>
      <c r="F277" s="92"/>
      <c r="G277" s="39">
        <f>G278</f>
        <v>3890.9</v>
      </c>
      <c r="H277" s="39">
        <f t="shared" ref="H277:I278" si="108">H278</f>
        <v>3890.9</v>
      </c>
      <c r="I277" s="39">
        <f t="shared" si="108"/>
        <v>3890.9</v>
      </c>
    </row>
    <row r="278" spans="1:11">
      <c r="A278" s="278">
        <v>262</v>
      </c>
      <c r="B278" s="97" t="s">
        <v>34</v>
      </c>
      <c r="C278" s="55" t="s">
        <v>160</v>
      </c>
      <c r="D278" s="55" t="s">
        <v>109</v>
      </c>
      <c r="E278" s="92">
        <v>1010023590</v>
      </c>
      <c r="F278" s="92">
        <v>800</v>
      </c>
      <c r="G278" s="39">
        <f>G279</f>
        <v>3890.9</v>
      </c>
      <c r="H278" s="39">
        <f t="shared" si="108"/>
        <v>3890.9</v>
      </c>
      <c r="I278" s="39">
        <f t="shared" si="108"/>
        <v>3890.9</v>
      </c>
    </row>
    <row r="279" spans="1:11" ht="54.75" customHeight="1">
      <c r="A279" s="278">
        <v>263</v>
      </c>
      <c r="B279" s="97" t="s">
        <v>47</v>
      </c>
      <c r="C279" s="55" t="s">
        <v>160</v>
      </c>
      <c r="D279" s="55" t="s">
        <v>109</v>
      </c>
      <c r="E279" s="92">
        <v>1010023590</v>
      </c>
      <c r="F279" s="92">
        <v>810</v>
      </c>
      <c r="G279" s="39">
        <v>3890.9</v>
      </c>
      <c r="H279" s="39">
        <v>3890.9</v>
      </c>
      <c r="I279" s="39">
        <v>3890.9</v>
      </c>
    </row>
    <row r="280" spans="1:11">
      <c r="A280" s="278">
        <v>264</v>
      </c>
      <c r="B280" s="80" t="s">
        <v>48</v>
      </c>
      <c r="C280" s="55" t="s">
        <v>160</v>
      </c>
      <c r="D280" s="55" t="s">
        <v>111</v>
      </c>
      <c r="E280" s="59"/>
      <c r="F280" s="59"/>
      <c r="G280" s="39">
        <f t="shared" ref="G280:I284" si="109">G281</f>
        <v>14771.08</v>
      </c>
      <c r="H280" s="39">
        <f t="shared" si="109"/>
        <v>14893.173999999999</v>
      </c>
      <c r="I280" s="39">
        <f t="shared" si="109"/>
        <v>14565.939999999999</v>
      </c>
    </row>
    <row r="281" spans="1:11">
      <c r="A281" s="278">
        <v>265</v>
      </c>
      <c r="B281" s="60" t="s">
        <v>45</v>
      </c>
      <c r="C281" s="55" t="s">
        <v>160</v>
      </c>
      <c r="D281" s="55" t="s">
        <v>111</v>
      </c>
      <c r="E281" s="42">
        <v>1000000000</v>
      </c>
      <c r="F281" s="59"/>
      <c r="G281" s="39">
        <f>G282+G296+G289</f>
        <v>14771.08</v>
      </c>
      <c r="H281" s="39">
        <f>H282+H296+H289</f>
        <v>14893.173999999999</v>
      </c>
      <c r="I281" s="39">
        <f>I282+I296+I289</f>
        <v>14565.939999999999</v>
      </c>
    </row>
    <row r="282" spans="1:11">
      <c r="A282" s="278">
        <v>266</v>
      </c>
      <c r="B282" s="60" t="s">
        <v>49</v>
      </c>
      <c r="C282" s="55" t="s">
        <v>160</v>
      </c>
      <c r="D282" s="55" t="s">
        <v>111</v>
      </c>
      <c r="E282" s="42">
        <v>1020000000</v>
      </c>
      <c r="F282" s="59"/>
      <c r="G282" s="39">
        <f>G283+G286</f>
        <v>1635.1</v>
      </c>
      <c r="H282" s="39">
        <f t="shared" ref="H282:I282" si="110">H283+H286</f>
        <v>463.7</v>
      </c>
      <c r="I282" s="39">
        <f t="shared" si="110"/>
        <v>482.8</v>
      </c>
    </row>
    <row r="283" spans="1:11" ht="30">
      <c r="A283" s="278">
        <v>267</v>
      </c>
      <c r="B283" s="162" t="s">
        <v>501</v>
      </c>
      <c r="C283" s="55" t="s">
        <v>160</v>
      </c>
      <c r="D283" s="55" t="s">
        <v>111</v>
      </c>
      <c r="E283" s="42">
        <v>1020082220</v>
      </c>
      <c r="F283" s="59"/>
      <c r="G283" s="39">
        <f t="shared" si="109"/>
        <v>447.8</v>
      </c>
      <c r="H283" s="39">
        <f t="shared" ref="H283:I284" si="111">H284</f>
        <v>463.7</v>
      </c>
      <c r="I283" s="39">
        <f t="shared" si="111"/>
        <v>482.8</v>
      </c>
    </row>
    <row r="284" spans="1:11">
      <c r="A284" s="278">
        <v>268</v>
      </c>
      <c r="B284" s="64" t="s">
        <v>22</v>
      </c>
      <c r="C284" s="55" t="s">
        <v>160</v>
      </c>
      <c r="D284" s="55" t="s">
        <v>111</v>
      </c>
      <c r="E284" s="42">
        <v>1020082220</v>
      </c>
      <c r="F284" s="59">
        <v>200</v>
      </c>
      <c r="G284" s="39">
        <f t="shared" si="109"/>
        <v>447.8</v>
      </c>
      <c r="H284" s="39">
        <f t="shared" si="111"/>
        <v>463.7</v>
      </c>
      <c r="I284" s="39">
        <f t="shared" si="111"/>
        <v>482.8</v>
      </c>
    </row>
    <row r="285" spans="1:11">
      <c r="A285" s="278">
        <v>269</v>
      </c>
      <c r="B285" s="64" t="s">
        <v>23</v>
      </c>
      <c r="C285" s="55" t="s">
        <v>160</v>
      </c>
      <c r="D285" s="55" t="s">
        <v>111</v>
      </c>
      <c r="E285" s="42">
        <v>1020082220</v>
      </c>
      <c r="F285" s="59">
        <v>240</v>
      </c>
      <c r="G285" s="39">
        <v>447.8</v>
      </c>
      <c r="H285" s="39">
        <v>463.7</v>
      </c>
      <c r="I285" s="39">
        <v>482.8</v>
      </c>
    </row>
    <row r="286" spans="1:11" ht="60">
      <c r="A286" s="278">
        <v>270</v>
      </c>
      <c r="B286" s="248" t="s">
        <v>540</v>
      </c>
      <c r="C286" s="192" t="s">
        <v>160</v>
      </c>
      <c r="D286" s="118" t="s">
        <v>111</v>
      </c>
      <c r="E286" s="191" t="s">
        <v>541</v>
      </c>
      <c r="F286" s="134"/>
      <c r="G286" s="39">
        <f>G287</f>
        <v>1187.3</v>
      </c>
      <c r="H286" s="39">
        <f t="shared" ref="H286:I287" si="112">H287</f>
        <v>0</v>
      </c>
      <c r="I286" s="39">
        <f t="shared" si="112"/>
        <v>0</v>
      </c>
    </row>
    <row r="287" spans="1:11">
      <c r="A287" s="278">
        <v>271</v>
      </c>
      <c r="B287" s="195" t="s">
        <v>22</v>
      </c>
      <c r="C287" s="192" t="s">
        <v>160</v>
      </c>
      <c r="D287" s="118" t="s">
        <v>111</v>
      </c>
      <c r="E287" s="191" t="s">
        <v>541</v>
      </c>
      <c r="F287" s="134">
        <v>200</v>
      </c>
      <c r="G287" s="39">
        <f>G288</f>
        <v>1187.3</v>
      </c>
      <c r="H287" s="39">
        <f t="shared" si="112"/>
        <v>0</v>
      </c>
      <c r="I287" s="39">
        <f t="shared" si="112"/>
        <v>0</v>
      </c>
    </row>
    <row r="288" spans="1:11">
      <c r="A288" s="278">
        <v>272</v>
      </c>
      <c r="B288" s="195" t="s">
        <v>23</v>
      </c>
      <c r="C288" s="192" t="s">
        <v>160</v>
      </c>
      <c r="D288" s="118" t="s">
        <v>111</v>
      </c>
      <c r="E288" s="191" t="s">
        <v>541</v>
      </c>
      <c r="F288" s="134">
        <v>240</v>
      </c>
      <c r="G288" s="39">
        <f>1174.2+13.1</f>
        <v>1187.3</v>
      </c>
      <c r="H288" s="39">
        <v>0</v>
      </c>
      <c r="I288" s="39">
        <v>0</v>
      </c>
      <c r="J288" s="213">
        <v>1174.2</v>
      </c>
      <c r="K288" s="240">
        <v>13.1</v>
      </c>
    </row>
    <row r="289" spans="1:12" ht="30">
      <c r="A289" s="278">
        <v>273</v>
      </c>
      <c r="B289" s="107" t="s">
        <v>319</v>
      </c>
      <c r="C289" s="55" t="s">
        <v>160</v>
      </c>
      <c r="D289" s="55" t="s">
        <v>111</v>
      </c>
      <c r="E289" s="42">
        <v>1030000000</v>
      </c>
      <c r="F289" s="114"/>
      <c r="G289" s="39">
        <f>G290+G293</f>
        <v>12802.9</v>
      </c>
      <c r="H289" s="39">
        <f t="shared" ref="H289:I289" si="113">H290+H293</f>
        <v>14083.14</v>
      </c>
      <c r="I289" s="39">
        <f t="shared" si="113"/>
        <v>14083.14</v>
      </c>
    </row>
    <row r="290" spans="1:12" s="98" customFormat="1">
      <c r="A290" s="278">
        <v>274</v>
      </c>
      <c r="B290" s="175" t="s">
        <v>452</v>
      </c>
      <c r="C290" s="179" t="s">
        <v>160</v>
      </c>
      <c r="D290" s="179" t="s">
        <v>111</v>
      </c>
      <c r="E290" s="176" t="s">
        <v>453</v>
      </c>
      <c r="F290" s="176"/>
      <c r="G290" s="39">
        <f>G291</f>
        <v>12783.8</v>
      </c>
      <c r="H290" s="39">
        <f t="shared" ref="H290:I291" si="114">H291</f>
        <v>14083.14</v>
      </c>
      <c r="I290" s="39">
        <f t="shared" si="114"/>
        <v>14083.14</v>
      </c>
      <c r="J290" s="110"/>
      <c r="K290" s="110"/>
      <c r="L290" s="110"/>
    </row>
    <row r="291" spans="1:12" s="98" customFormat="1">
      <c r="A291" s="278">
        <v>275</v>
      </c>
      <c r="B291" s="181" t="s">
        <v>22</v>
      </c>
      <c r="C291" s="179" t="s">
        <v>160</v>
      </c>
      <c r="D291" s="179" t="s">
        <v>111</v>
      </c>
      <c r="E291" s="176" t="s">
        <v>453</v>
      </c>
      <c r="F291" s="176">
        <v>200</v>
      </c>
      <c r="G291" s="39">
        <f>G292</f>
        <v>12783.8</v>
      </c>
      <c r="H291" s="39">
        <f t="shared" si="114"/>
        <v>14083.14</v>
      </c>
      <c r="I291" s="39">
        <f t="shared" si="114"/>
        <v>14083.14</v>
      </c>
      <c r="J291" s="110"/>
      <c r="K291" s="110"/>
      <c r="L291" s="110"/>
    </row>
    <row r="292" spans="1:12" s="98" customFormat="1">
      <c r="A292" s="278">
        <v>276</v>
      </c>
      <c r="B292" s="181" t="s">
        <v>23</v>
      </c>
      <c r="C292" s="179" t="s">
        <v>160</v>
      </c>
      <c r="D292" s="179" t="s">
        <v>111</v>
      </c>
      <c r="E292" s="176" t="s">
        <v>453</v>
      </c>
      <c r="F292" s="176">
        <v>240</v>
      </c>
      <c r="G292" s="39">
        <f>12753.8+165.8-135.8</f>
        <v>12783.8</v>
      </c>
      <c r="H292" s="39">
        <f>13902.4+180.74</f>
        <v>14083.14</v>
      </c>
      <c r="I292" s="39">
        <f>13902.4+180.74</f>
        <v>14083.14</v>
      </c>
      <c r="J292" s="240">
        <v>-135.80000000000001</v>
      </c>
      <c r="K292" s="110"/>
      <c r="L292" s="110"/>
    </row>
    <row r="293" spans="1:12" s="98" customFormat="1" ht="54" customHeight="1">
      <c r="A293" s="278">
        <v>277</v>
      </c>
      <c r="B293" s="248" t="s">
        <v>583</v>
      </c>
      <c r="C293" s="231" t="s">
        <v>160</v>
      </c>
      <c r="D293" s="231" t="s">
        <v>111</v>
      </c>
      <c r="E293" s="229">
        <v>1030084580</v>
      </c>
      <c r="F293" s="229"/>
      <c r="G293" s="39">
        <f>G294</f>
        <v>19.100000000000001</v>
      </c>
      <c r="H293" s="39">
        <f t="shared" ref="H293:I294" si="115">H294</f>
        <v>0</v>
      </c>
      <c r="I293" s="39">
        <f t="shared" si="115"/>
        <v>0</v>
      </c>
      <c r="J293" s="110"/>
      <c r="K293" s="110"/>
      <c r="L293" s="110"/>
    </row>
    <row r="294" spans="1:12" s="98" customFormat="1">
      <c r="A294" s="278">
        <v>278</v>
      </c>
      <c r="B294" s="234" t="s">
        <v>22</v>
      </c>
      <c r="C294" s="231" t="s">
        <v>160</v>
      </c>
      <c r="D294" s="231" t="s">
        <v>111</v>
      </c>
      <c r="E294" s="229">
        <v>1030084580</v>
      </c>
      <c r="F294" s="229">
        <v>200</v>
      </c>
      <c r="G294" s="39">
        <f>G295</f>
        <v>19.100000000000001</v>
      </c>
      <c r="H294" s="39">
        <f t="shared" si="115"/>
        <v>0</v>
      </c>
      <c r="I294" s="39">
        <f t="shared" si="115"/>
        <v>0</v>
      </c>
      <c r="J294" s="110"/>
      <c r="K294" s="110"/>
      <c r="L294" s="110"/>
    </row>
    <row r="295" spans="1:12" s="98" customFormat="1">
      <c r="A295" s="278">
        <v>279</v>
      </c>
      <c r="B295" s="234" t="s">
        <v>23</v>
      </c>
      <c r="C295" s="231" t="s">
        <v>160</v>
      </c>
      <c r="D295" s="231" t="s">
        <v>111</v>
      </c>
      <c r="E295" s="229">
        <v>1030084580</v>
      </c>
      <c r="F295" s="229">
        <v>240</v>
      </c>
      <c r="G295" s="39">
        <v>19.100000000000001</v>
      </c>
      <c r="H295" s="39">
        <v>0</v>
      </c>
      <c r="I295" s="39">
        <v>0</v>
      </c>
      <c r="J295" s="240">
        <v>19.100000000000001</v>
      </c>
      <c r="K295" s="110"/>
      <c r="L295" s="110"/>
    </row>
    <row r="296" spans="1:12" s="98" customFormat="1">
      <c r="A296" s="278">
        <v>280</v>
      </c>
      <c r="B296" s="182" t="s">
        <v>269</v>
      </c>
      <c r="C296" s="179" t="s">
        <v>160</v>
      </c>
      <c r="D296" s="179" t="s">
        <v>111</v>
      </c>
      <c r="E296" s="176">
        <v>1040000000</v>
      </c>
      <c r="F296" s="176"/>
      <c r="G296" s="39">
        <f>G297</f>
        <v>333.08</v>
      </c>
      <c r="H296" s="39">
        <f t="shared" ref="H296:I296" si="116">H297</f>
        <v>346.334</v>
      </c>
      <c r="I296" s="39">
        <f t="shared" si="116"/>
        <v>0</v>
      </c>
      <c r="J296" s="110"/>
      <c r="K296" s="110"/>
      <c r="L296" s="110"/>
    </row>
    <row r="297" spans="1:12" s="98" customFormat="1" ht="60">
      <c r="A297" s="278">
        <v>281</v>
      </c>
      <c r="B297" s="182" t="s">
        <v>418</v>
      </c>
      <c r="C297" s="179" t="s">
        <v>160</v>
      </c>
      <c r="D297" s="179" t="s">
        <v>111</v>
      </c>
      <c r="E297" s="176" t="s">
        <v>283</v>
      </c>
      <c r="F297" s="176"/>
      <c r="G297" s="39">
        <f>G298</f>
        <v>333.08</v>
      </c>
      <c r="H297" s="39">
        <f t="shared" ref="H297:I298" si="117">H298</f>
        <v>346.334</v>
      </c>
      <c r="I297" s="39">
        <f t="shared" si="117"/>
        <v>0</v>
      </c>
      <c r="J297" s="110"/>
      <c r="K297" s="110"/>
      <c r="L297" s="110"/>
    </row>
    <row r="298" spans="1:12" s="98" customFormat="1">
      <c r="A298" s="278">
        <v>282</v>
      </c>
      <c r="B298" s="181" t="s">
        <v>22</v>
      </c>
      <c r="C298" s="179" t="s">
        <v>160</v>
      </c>
      <c r="D298" s="179" t="s">
        <v>111</v>
      </c>
      <c r="E298" s="176" t="s">
        <v>283</v>
      </c>
      <c r="F298" s="176">
        <v>200</v>
      </c>
      <c r="G298" s="39">
        <f>G299</f>
        <v>333.08</v>
      </c>
      <c r="H298" s="39">
        <f t="shared" si="117"/>
        <v>346.334</v>
      </c>
      <c r="I298" s="39">
        <f t="shared" si="117"/>
        <v>0</v>
      </c>
      <c r="J298" s="110"/>
      <c r="K298" s="110"/>
      <c r="L298" s="110"/>
    </row>
    <row r="299" spans="1:12" s="98" customFormat="1">
      <c r="A299" s="278">
        <v>283</v>
      </c>
      <c r="B299" s="181" t="s">
        <v>23</v>
      </c>
      <c r="C299" s="179" t="s">
        <v>160</v>
      </c>
      <c r="D299" s="179" t="s">
        <v>111</v>
      </c>
      <c r="E299" s="176" t="s">
        <v>283</v>
      </c>
      <c r="F299" s="176">
        <v>240</v>
      </c>
      <c r="G299" s="39">
        <f>328.78+4.3</f>
        <v>333.08</v>
      </c>
      <c r="H299" s="39">
        <f>341.6+4.4+0.334</f>
        <v>346.334</v>
      </c>
      <c r="I299" s="39"/>
      <c r="J299" s="110">
        <v>0</v>
      </c>
      <c r="K299" s="110">
        <v>0.33400000000000002</v>
      </c>
      <c r="L299" s="110"/>
    </row>
    <row r="300" spans="1:12">
      <c r="A300" s="278">
        <v>284</v>
      </c>
      <c r="B300" s="96" t="s">
        <v>284</v>
      </c>
      <c r="C300" s="55" t="s">
        <v>160</v>
      </c>
      <c r="D300" s="55" t="s">
        <v>285</v>
      </c>
      <c r="E300" s="42"/>
      <c r="F300" s="92"/>
      <c r="G300" s="39">
        <f>G301</f>
        <v>4182.6499999999996</v>
      </c>
      <c r="H300" s="39">
        <f t="shared" ref="H300:I304" si="118">H301</f>
        <v>0</v>
      </c>
      <c r="I300" s="39">
        <f t="shared" si="118"/>
        <v>0</v>
      </c>
    </row>
    <row r="301" spans="1:12">
      <c r="A301" s="278">
        <v>285</v>
      </c>
      <c r="B301" s="94" t="s">
        <v>45</v>
      </c>
      <c r="C301" s="55" t="s">
        <v>160</v>
      </c>
      <c r="D301" s="55" t="s">
        <v>285</v>
      </c>
      <c r="E301" s="42">
        <v>1000000000</v>
      </c>
      <c r="F301" s="92"/>
      <c r="G301" s="39">
        <f>G302</f>
        <v>4182.6499999999996</v>
      </c>
      <c r="H301" s="39">
        <f t="shared" si="118"/>
        <v>0</v>
      </c>
      <c r="I301" s="39">
        <f t="shared" si="118"/>
        <v>0</v>
      </c>
    </row>
    <row r="302" spans="1:12">
      <c r="A302" s="278">
        <v>286</v>
      </c>
      <c r="B302" s="94" t="s">
        <v>41</v>
      </c>
      <c r="C302" s="55" t="s">
        <v>160</v>
      </c>
      <c r="D302" s="55" t="s">
        <v>285</v>
      </c>
      <c r="E302" s="42">
        <v>1090000000</v>
      </c>
      <c r="F302" s="92"/>
      <c r="G302" s="39">
        <f>G303</f>
        <v>4182.6499999999996</v>
      </c>
      <c r="H302" s="39">
        <f t="shared" si="118"/>
        <v>0</v>
      </c>
      <c r="I302" s="39">
        <f t="shared" si="118"/>
        <v>0</v>
      </c>
    </row>
    <row r="303" spans="1:12" ht="30">
      <c r="A303" s="278">
        <v>287</v>
      </c>
      <c r="B303" s="107" t="s">
        <v>435</v>
      </c>
      <c r="C303" s="55" t="s">
        <v>160</v>
      </c>
      <c r="D303" s="55" t="s">
        <v>285</v>
      </c>
      <c r="E303" s="42" t="s">
        <v>436</v>
      </c>
      <c r="F303" s="92"/>
      <c r="G303" s="39">
        <f>G304</f>
        <v>4182.6499999999996</v>
      </c>
      <c r="H303" s="39">
        <f t="shared" si="118"/>
        <v>0</v>
      </c>
      <c r="I303" s="39">
        <f t="shared" si="118"/>
        <v>0</v>
      </c>
    </row>
    <row r="304" spans="1:12">
      <c r="A304" s="278">
        <v>288</v>
      </c>
      <c r="B304" s="97" t="s">
        <v>22</v>
      </c>
      <c r="C304" s="55" t="s">
        <v>160</v>
      </c>
      <c r="D304" s="55" t="s">
        <v>285</v>
      </c>
      <c r="E304" s="42" t="s">
        <v>436</v>
      </c>
      <c r="F304" s="92">
        <v>200</v>
      </c>
      <c r="G304" s="39">
        <f>G305</f>
        <v>4182.6499999999996</v>
      </c>
      <c r="H304" s="39">
        <f t="shared" si="118"/>
        <v>0</v>
      </c>
      <c r="I304" s="39">
        <f t="shared" si="118"/>
        <v>0</v>
      </c>
    </row>
    <row r="305" spans="1:11">
      <c r="A305" s="278">
        <v>289</v>
      </c>
      <c r="B305" s="97" t="s">
        <v>23</v>
      </c>
      <c r="C305" s="55" t="s">
        <v>160</v>
      </c>
      <c r="D305" s="55" t="s">
        <v>285</v>
      </c>
      <c r="E305" s="42" t="s">
        <v>436</v>
      </c>
      <c r="F305" s="92">
        <v>240</v>
      </c>
      <c r="G305" s="39">
        <f>70+4173.65-61</f>
        <v>4182.6499999999996</v>
      </c>
      <c r="H305" s="39">
        <v>0</v>
      </c>
      <c r="I305" s="39">
        <v>0</v>
      </c>
      <c r="J305" s="213">
        <v>4173.6499999999996</v>
      </c>
      <c r="K305" s="240">
        <v>-61</v>
      </c>
    </row>
    <row r="306" spans="1:11">
      <c r="A306" s="278">
        <v>290</v>
      </c>
      <c r="B306" s="80" t="s">
        <v>50</v>
      </c>
      <c r="C306" s="55" t="s">
        <v>160</v>
      </c>
      <c r="D306" s="55" t="s">
        <v>112</v>
      </c>
      <c r="E306" s="59"/>
      <c r="F306" s="59"/>
      <c r="G306" s="39">
        <f>G307+G312</f>
        <v>722</v>
      </c>
      <c r="H306" s="39">
        <f t="shared" ref="H306:I306" si="119">H307+H312</f>
        <v>60</v>
      </c>
      <c r="I306" s="39">
        <f t="shared" si="119"/>
        <v>60</v>
      </c>
    </row>
    <row r="307" spans="1:11" ht="30">
      <c r="A307" s="278">
        <v>291</v>
      </c>
      <c r="B307" s="41" t="s">
        <v>432</v>
      </c>
      <c r="C307" s="55" t="s">
        <v>160</v>
      </c>
      <c r="D307" s="55" t="s">
        <v>112</v>
      </c>
      <c r="E307" s="55" t="s">
        <v>189</v>
      </c>
      <c r="F307" s="59"/>
      <c r="G307" s="39">
        <f>G308</f>
        <v>0</v>
      </c>
      <c r="H307" s="39">
        <f t="shared" ref="H307:I310" si="120">H308</f>
        <v>60</v>
      </c>
      <c r="I307" s="39">
        <f t="shared" si="120"/>
        <v>60</v>
      </c>
    </row>
    <row r="308" spans="1:11">
      <c r="A308" s="278">
        <v>292</v>
      </c>
      <c r="B308" s="116" t="s">
        <v>306</v>
      </c>
      <c r="C308" s="55" t="s">
        <v>160</v>
      </c>
      <c r="D308" s="55" t="s">
        <v>112</v>
      </c>
      <c r="E308" s="55" t="s">
        <v>445</v>
      </c>
      <c r="F308" s="59"/>
      <c r="G308" s="39">
        <f>G309</f>
        <v>0</v>
      </c>
      <c r="H308" s="39">
        <f t="shared" si="120"/>
        <v>60</v>
      </c>
      <c r="I308" s="39">
        <f t="shared" si="120"/>
        <v>60</v>
      </c>
    </row>
    <row r="309" spans="1:11">
      <c r="A309" s="278">
        <v>293</v>
      </c>
      <c r="B309" s="93" t="s">
        <v>51</v>
      </c>
      <c r="C309" s="55" t="s">
        <v>160</v>
      </c>
      <c r="D309" s="55" t="s">
        <v>112</v>
      </c>
      <c r="E309" s="55" t="s">
        <v>449</v>
      </c>
      <c r="F309" s="59"/>
      <c r="G309" s="39">
        <f>G310</f>
        <v>0</v>
      </c>
      <c r="H309" s="39">
        <f t="shared" si="120"/>
        <v>60</v>
      </c>
      <c r="I309" s="39">
        <f t="shared" si="120"/>
        <v>60</v>
      </c>
    </row>
    <row r="310" spans="1:11">
      <c r="A310" s="278">
        <v>294</v>
      </c>
      <c r="B310" s="97" t="s">
        <v>34</v>
      </c>
      <c r="C310" s="55" t="s">
        <v>160</v>
      </c>
      <c r="D310" s="55" t="s">
        <v>112</v>
      </c>
      <c r="E310" s="55" t="s">
        <v>449</v>
      </c>
      <c r="F310" s="59">
        <v>800</v>
      </c>
      <c r="G310" s="39">
        <f>G311</f>
        <v>0</v>
      </c>
      <c r="H310" s="39">
        <f t="shared" si="120"/>
        <v>60</v>
      </c>
      <c r="I310" s="39">
        <f t="shared" si="120"/>
        <v>60</v>
      </c>
    </row>
    <row r="311" spans="1:11" ht="30">
      <c r="A311" s="278">
        <v>295</v>
      </c>
      <c r="B311" s="97" t="s">
        <v>47</v>
      </c>
      <c r="C311" s="55" t="s">
        <v>160</v>
      </c>
      <c r="D311" s="55" t="s">
        <v>112</v>
      </c>
      <c r="E311" s="55" t="s">
        <v>449</v>
      </c>
      <c r="F311" s="59">
        <v>810</v>
      </c>
      <c r="G311" s="39">
        <f>60-60</f>
        <v>0</v>
      </c>
      <c r="H311" s="39">
        <v>60</v>
      </c>
      <c r="I311" s="39">
        <v>60</v>
      </c>
      <c r="J311" s="240">
        <v>-60</v>
      </c>
    </row>
    <row r="312" spans="1:11" ht="30">
      <c r="A312" s="278">
        <v>296</v>
      </c>
      <c r="B312" s="94" t="s">
        <v>259</v>
      </c>
      <c r="C312" s="55" t="s">
        <v>160</v>
      </c>
      <c r="D312" s="55" t="s">
        <v>112</v>
      </c>
      <c r="E312" s="87">
        <v>1100000000</v>
      </c>
      <c r="F312" s="86"/>
      <c r="G312" s="39">
        <f>G313</f>
        <v>722</v>
      </c>
      <c r="H312" s="39">
        <f t="shared" ref="H312:I314" si="121">H313</f>
        <v>0</v>
      </c>
      <c r="I312" s="39">
        <f t="shared" si="121"/>
        <v>0</v>
      </c>
    </row>
    <row r="313" spans="1:11" ht="30">
      <c r="A313" s="278">
        <v>297</v>
      </c>
      <c r="B313" s="94" t="s">
        <v>147</v>
      </c>
      <c r="C313" s="55" t="s">
        <v>160</v>
      </c>
      <c r="D313" s="55" t="s">
        <v>112</v>
      </c>
      <c r="E313" s="87">
        <v>1130000000</v>
      </c>
      <c r="F313" s="86"/>
      <c r="G313" s="39">
        <f>G314</f>
        <v>722</v>
      </c>
      <c r="H313" s="39">
        <f t="shared" si="121"/>
        <v>0</v>
      </c>
      <c r="I313" s="39">
        <f t="shared" si="121"/>
        <v>0</v>
      </c>
    </row>
    <row r="314" spans="1:11" ht="30">
      <c r="A314" s="278">
        <v>298</v>
      </c>
      <c r="B314" s="96" t="s">
        <v>260</v>
      </c>
      <c r="C314" s="55" t="s">
        <v>160</v>
      </c>
      <c r="D314" s="55" t="s">
        <v>112</v>
      </c>
      <c r="E314" s="87" t="s">
        <v>286</v>
      </c>
      <c r="F314" s="87">
        <v>200</v>
      </c>
      <c r="G314" s="39">
        <f>G315</f>
        <v>722</v>
      </c>
      <c r="H314" s="39">
        <f t="shared" si="121"/>
        <v>0</v>
      </c>
      <c r="I314" s="39">
        <f t="shared" si="121"/>
        <v>0</v>
      </c>
    </row>
    <row r="315" spans="1:11" ht="18.75" customHeight="1">
      <c r="A315" s="278">
        <v>299</v>
      </c>
      <c r="B315" s="97" t="s">
        <v>23</v>
      </c>
      <c r="C315" s="55" t="s">
        <v>160</v>
      </c>
      <c r="D315" s="55" t="s">
        <v>112</v>
      </c>
      <c r="E315" s="87" t="s">
        <v>286</v>
      </c>
      <c r="F315" s="87">
        <v>240</v>
      </c>
      <c r="G315" s="39">
        <v>722</v>
      </c>
      <c r="H315" s="39">
        <v>0</v>
      </c>
      <c r="I315" s="39">
        <v>0</v>
      </c>
    </row>
    <row r="316" spans="1:11">
      <c r="A316" s="278">
        <v>300</v>
      </c>
      <c r="B316" s="80" t="s">
        <v>113</v>
      </c>
      <c r="C316" s="55" t="s">
        <v>160</v>
      </c>
      <c r="D316" s="55" t="s">
        <v>114</v>
      </c>
      <c r="E316" s="59"/>
      <c r="F316" s="59"/>
      <c r="G316" s="39">
        <f>G323+G317</f>
        <v>59836.3</v>
      </c>
      <c r="H316" s="39">
        <f t="shared" ref="H316:I316" si="122">H323+H317</f>
        <v>60023.199999999997</v>
      </c>
      <c r="I316" s="39">
        <f t="shared" si="122"/>
        <v>60023.199999999997</v>
      </c>
    </row>
    <row r="317" spans="1:11">
      <c r="A317" s="278">
        <v>301</v>
      </c>
      <c r="B317" s="80" t="s">
        <v>422</v>
      </c>
      <c r="C317" s="55" t="s">
        <v>160</v>
      </c>
      <c r="D317" s="55" t="s">
        <v>423</v>
      </c>
      <c r="E317" s="114"/>
      <c r="F317" s="114"/>
      <c r="G317" s="39">
        <f>G318</f>
        <v>100</v>
      </c>
      <c r="H317" s="39">
        <f t="shared" ref="H317:I321" si="123">H318</f>
        <v>100</v>
      </c>
      <c r="I317" s="39">
        <f t="shared" si="123"/>
        <v>100</v>
      </c>
    </row>
    <row r="318" spans="1:11" ht="30">
      <c r="A318" s="278">
        <v>302</v>
      </c>
      <c r="B318" s="107" t="s">
        <v>60</v>
      </c>
      <c r="C318" s="55" t="s">
        <v>160</v>
      </c>
      <c r="D318" s="55" t="s">
        <v>423</v>
      </c>
      <c r="E318" s="114">
        <v>1100000000</v>
      </c>
      <c r="F318" s="114"/>
      <c r="G318" s="39">
        <f>G319</f>
        <v>100</v>
      </c>
      <c r="H318" s="39">
        <f t="shared" si="123"/>
        <v>100</v>
      </c>
      <c r="I318" s="39">
        <f t="shared" si="123"/>
        <v>100</v>
      </c>
    </row>
    <row r="319" spans="1:11" ht="45">
      <c r="A319" s="278">
        <v>303</v>
      </c>
      <c r="B319" s="115" t="s">
        <v>148</v>
      </c>
      <c r="C319" s="55" t="s">
        <v>160</v>
      </c>
      <c r="D319" s="55" t="s">
        <v>423</v>
      </c>
      <c r="E319" s="114">
        <v>1140000000</v>
      </c>
      <c r="F319" s="114"/>
      <c r="G319" s="39">
        <f>G320</f>
        <v>100</v>
      </c>
      <c r="H319" s="39">
        <f t="shared" si="123"/>
        <v>100</v>
      </c>
      <c r="I319" s="39">
        <f t="shared" si="123"/>
        <v>100</v>
      </c>
    </row>
    <row r="320" spans="1:11">
      <c r="A320" s="278">
        <v>304</v>
      </c>
      <c r="B320" s="115" t="s">
        <v>457</v>
      </c>
      <c r="C320" s="55" t="s">
        <v>160</v>
      </c>
      <c r="D320" s="55" t="s">
        <v>423</v>
      </c>
      <c r="E320" s="114">
        <v>1140092030</v>
      </c>
      <c r="F320" s="114"/>
      <c r="G320" s="39">
        <f>G321</f>
        <v>100</v>
      </c>
      <c r="H320" s="39">
        <f t="shared" si="123"/>
        <v>100</v>
      </c>
      <c r="I320" s="39">
        <f t="shared" si="123"/>
        <v>100</v>
      </c>
    </row>
    <row r="321" spans="1:13">
      <c r="A321" s="278">
        <v>305</v>
      </c>
      <c r="B321" s="102" t="s">
        <v>22</v>
      </c>
      <c r="C321" s="55" t="s">
        <v>160</v>
      </c>
      <c r="D321" s="55" t="s">
        <v>423</v>
      </c>
      <c r="E321" s="114">
        <v>1140092030</v>
      </c>
      <c r="F321" s="114">
        <v>200</v>
      </c>
      <c r="G321" s="39">
        <f>G322</f>
        <v>100</v>
      </c>
      <c r="H321" s="39">
        <f t="shared" si="123"/>
        <v>100</v>
      </c>
      <c r="I321" s="39">
        <f t="shared" si="123"/>
        <v>100</v>
      </c>
    </row>
    <row r="322" spans="1:13">
      <c r="A322" s="278">
        <v>306</v>
      </c>
      <c r="B322" s="102" t="s">
        <v>23</v>
      </c>
      <c r="C322" s="55" t="s">
        <v>160</v>
      </c>
      <c r="D322" s="55" t="s">
        <v>423</v>
      </c>
      <c r="E322" s="114">
        <v>1140092030</v>
      </c>
      <c r="F322" s="114">
        <v>240</v>
      </c>
      <c r="G322" s="39">
        <v>100</v>
      </c>
      <c r="H322" s="39">
        <v>100</v>
      </c>
      <c r="I322" s="39">
        <v>100</v>
      </c>
    </row>
    <row r="323" spans="1:13">
      <c r="A323" s="278">
        <v>307</v>
      </c>
      <c r="B323" s="61" t="s">
        <v>54</v>
      </c>
      <c r="C323" s="55" t="s">
        <v>160</v>
      </c>
      <c r="D323" s="55" t="s">
        <v>116</v>
      </c>
      <c r="E323" s="59"/>
      <c r="F323" s="59"/>
      <c r="G323" s="39">
        <f>G324</f>
        <v>59736.3</v>
      </c>
      <c r="H323" s="39">
        <f t="shared" ref="H323:I323" si="124">H324</f>
        <v>59923.199999999997</v>
      </c>
      <c r="I323" s="39">
        <f t="shared" si="124"/>
        <v>59923.199999999997</v>
      </c>
    </row>
    <row r="324" spans="1:13" ht="30">
      <c r="A324" s="278">
        <v>308</v>
      </c>
      <c r="B324" s="61" t="s">
        <v>55</v>
      </c>
      <c r="C324" s="55" t="s">
        <v>160</v>
      </c>
      <c r="D324" s="55" t="s">
        <v>116</v>
      </c>
      <c r="E324" s="55" t="s">
        <v>180</v>
      </c>
      <c r="F324" s="59"/>
      <c r="G324" s="39">
        <f>G325</f>
        <v>59736.3</v>
      </c>
      <c r="H324" s="39">
        <f t="shared" ref="H324:I324" si="125">H325</f>
        <v>59923.199999999997</v>
      </c>
      <c r="I324" s="39">
        <f t="shared" si="125"/>
        <v>59923.199999999997</v>
      </c>
    </row>
    <row r="325" spans="1:13">
      <c r="A325" s="278">
        <v>309</v>
      </c>
      <c r="B325" s="40" t="s">
        <v>41</v>
      </c>
      <c r="C325" s="55" t="s">
        <v>160</v>
      </c>
      <c r="D325" s="55" t="s">
        <v>116</v>
      </c>
      <c r="E325" s="55" t="s">
        <v>190</v>
      </c>
      <c r="F325" s="59"/>
      <c r="G325" s="39">
        <f>G326+G329</f>
        <v>59736.3</v>
      </c>
      <c r="H325" s="39">
        <f t="shared" ref="H325:I325" si="126">H326+H329</f>
        <v>59923.199999999997</v>
      </c>
      <c r="I325" s="39">
        <f t="shared" si="126"/>
        <v>59923.199999999997</v>
      </c>
    </row>
    <row r="326" spans="1:13" ht="45">
      <c r="A326" s="278">
        <v>310</v>
      </c>
      <c r="B326" s="99" t="s">
        <v>307</v>
      </c>
      <c r="C326" s="55" t="s">
        <v>160</v>
      </c>
      <c r="D326" s="55" t="s">
        <v>116</v>
      </c>
      <c r="E326" s="55" t="s">
        <v>191</v>
      </c>
      <c r="F326" s="59"/>
      <c r="G326" s="39">
        <f>G327</f>
        <v>22966.400000000001</v>
      </c>
      <c r="H326" s="39">
        <f t="shared" ref="H326:I327" si="127">H327</f>
        <v>23153.3</v>
      </c>
      <c r="I326" s="39">
        <f t="shared" si="127"/>
        <v>23153.3</v>
      </c>
      <c r="K326" s="200"/>
      <c r="L326" s="200"/>
      <c r="M326" s="45"/>
    </row>
    <row r="327" spans="1:13">
      <c r="A327" s="278">
        <v>311</v>
      </c>
      <c r="B327" s="64" t="s">
        <v>34</v>
      </c>
      <c r="C327" s="55" t="s">
        <v>160</v>
      </c>
      <c r="D327" s="55" t="s">
        <v>116</v>
      </c>
      <c r="E327" s="55" t="s">
        <v>191</v>
      </c>
      <c r="F327" s="59">
        <v>800</v>
      </c>
      <c r="G327" s="39">
        <f>G328</f>
        <v>22966.400000000001</v>
      </c>
      <c r="H327" s="39">
        <f t="shared" si="127"/>
        <v>23153.3</v>
      </c>
      <c r="I327" s="39">
        <f t="shared" si="127"/>
        <v>23153.3</v>
      </c>
    </row>
    <row r="328" spans="1:13" ht="30">
      <c r="A328" s="278">
        <v>312</v>
      </c>
      <c r="B328" s="64" t="s">
        <v>47</v>
      </c>
      <c r="C328" s="55" t="s">
        <v>160</v>
      </c>
      <c r="D328" s="55" t="s">
        <v>116</v>
      </c>
      <c r="E328" s="55" t="s">
        <v>191</v>
      </c>
      <c r="F328" s="59">
        <v>810</v>
      </c>
      <c r="G328" s="46">
        <v>22966.400000000001</v>
      </c>
      <c r="H328" s="46">
        <v>23153.3</v>
      </c>
      <c r="I328" s="46">
        <v>23153.3</v>
      </c>
    </row>
    <row r="329" spans="1:13">
      <c r="A329" s="278">
        <v>313</v>
      </c>
      <c r="B329" s="95" t="s">
        <v>287</v>
      </c>
      <c r="C329" s="55" t="s">
        <v>160</v>
      </c>
      <c r="D329" s="55" t="s">
        <v>116</v>
      </c>
      <c r="E329" s="55" t="s">
        <v>192</v>
      </c>
      <c r="F329" s="59"/>
      <c r="G329" s="39">
        <f>G330</f>
        <v>36769.9</v>
      </c>
      <c r="H329" s="39">
        <f t="shared" ref="H329:I330" si="128">H330</f>
        <v>36769.9</v>
      </c>
      <c r="I329" s="39">
        <f t="shared" si="128"/>
        <v>36769.9</v>
      </c>
    </row>
    <row r="330" spans="1:13">
      <c r="A330" s="278">
        <v>314</v>
      </c>
      <c r="B330" s="64" t="s">
        <v>34</v>
      </c>
      <c r="C330" s="55" t="s">
        <v>160</v>
      </c>
      <c r="D330" s="55" t="s">
        <v>116</v>
      </c>
      <c r="E330" s="55" t="s">
        <v>192</v>
      </c>
      <c r="F330" s="59">
        <v>800</v>
      </c>
      <c r="G330" s="39">
        <f>G331</f>
        <v>36769.9</v>
      </c>
      <c r="H330" s="39">
        <f t="shared" si="128"/>
        <v>36769.9</v>
      </c>
      <c r="I330" s="39">
        <f t="shared" si="128"/>
        <v>36769.9</v>
      </c>
    </row>
    <row r="331" spans="1:13" ht="30">
      <c r="A331" s="278">
        <v>315</v>
      </c>
      <c r="B331" s="64" t="s">
        <v>47</v>
      </c>
      <c r="C331" s="55" t="s">
        <v>160</v>
      </c>
      <c r="D331" s="55" t="s">
        <v>116</v>
      </c>
      <c r="E331" s="55" t="s">
        <v>192</v>
      </c>
      <c r="F331" s="59">
        <v>810</v>
      </c>
      <c r="G331" s="46">
        <v>36769.9</v>
      </c>
      <c r="H331" s="46">
        <v>36769.9</v>
      </c>
      <c r="I331" s="46">
        <v>36769.9</v>
      </c>
    </row>
    <row r="332" spans="1:13">
      <c r="A332" s="278">
        <v>316</v>
      </c>
      <c r="B332" s="193" t="s">
        <v>553</v>
      </c>
      <c r="C332" s="55" t="s">
        <v>160</v>
      </c>
      <c r="D332" s="55" t="s">
        <v>554</v>
      </c>
      <c r="E332" s="55"/>
      <c r="F332" s="134"/>
      <c r="G332" s="46">
        <f>G333</f>
        <v>486.95</v>
      </c>
      <c r="H332" s="46">
        <f t="shared" ref="H332:I333" si="129">H333</f>
        <v>202.1</v>
      </c>
      <c r="I332" s="46">
        <f t="shared" si="129"/>
        <v>202.1</v>
      </c>
    </row>
    <row r="333" spans="1:13">
      <c r="A333" s="278">
        <v>317</v>
      </c>
      <c r="B333" s="210" t="s">
        <v>562</v>
      </c>
      <c r="C333" s="55" t="s">
        <v>160</v>
      </c>
      <c r="D333" s="55" t="s">
        <v>555</v>
      </c>
      <c r="E333" s="55"/>
      <c r="F333" s="134"/>
      <c r="G333" s="46">
        <f>G334</f>
        <v>486.95</v>
      </c>
      <c r="H333" s="46">
        <f t="shared" si="129"/>
        <v>202.1</v>
      </c>
      <c r="I333" s="46">
        <f t="shared" si="129"/>
        <v>202.1</v>
      </c>
    </row>
    <row r="334" spans="1:13" ht="30">
      <c r="A334" s="278">
        <v>318</v>
      </c>
      <c r="B334" s="41" t="s">
        <v>432</v>
      </c>
      <c r="C334" s="192" t="s">
        <v>160</v>
      </c>
      <c r="D334" s="192" t="s">
        <v>555</v>
      </c>
      <c r="E334" s="88" t="s">
        <v>189</v>
      </c>
      <c r="F334" s="191"/>
      <c r="G334" s="39">
        <f t="shared" ref="G334:I339" si="130">G335</f>
        <v>486.95</v>
      </c>
      <c r="H334" s="39">
        <f t="shared" si="130"/>
        <v>202.1</v>
      </c>
      <c r="I334" s="39">
        <f t="shared" si="130"/>
        <v>202.1</v>
      </c>
    </row>
    <row r="335" spans="1:13" ht="15.75">
      <c r="A335" s="278">
        <v>319</v>
      </c>
      <c r="B335" s="41" t="s">
        <v>281</v>
      </c>
      <c r="C335" s="192" t="s">
        <v>160</v>
      </c>
      <c r="D335" s="192" t="s">
        <v>555</v>
      </c>
      <c r="E335" s="88" t="s">
        <v>433</v>
      </c>
      <c r="F335" s="191"/>
      <c r="G335" s="39">
        <f t="shared" si="130"/>
        <v>486.95</v>
      </c>
      <c r="H335" s="39">
        <f t="shared" si="130"/>
        <v>202.1</v>
      </c>
      <c r="I335" s="39">
        <f t="shared" si="130"/>
        <v>202.1</v>
      </c>
    </row>
    <row r="336" spans="1:13" ht="30">
      <c r="A336" s="278">
        <v>320</v>
      </c>
      <c r="B336" s="194" t="s">
        <v>53</v>
      </c>
      <c r="C336" s="192" t="s">
        <v>160</v>
      </c>
      <c r="D336" s="192" t="s">
        <v>555</v>
      </c>
      <c r="E336" s="192" t="s">
        <v>448</v>
      </c>
      <c r="F336" s="191"/>
      <c r="G336" s="39">
        <f>G337+G339</f>
        <v>486.95</v>
      </c>
      <c r="H336" s="39">
        <f t="shared" ref="H336:I336" si="131">H337+H339</f>
        <v>202.1</v>
      </c>
      <c r="I336" s="39">
        <f t="shared" si="131"/>
        <v>202.1</v>
      </c>
    </row>
    <row r="337" spans="1:11" ht="45">
      <c r="A337" s="278">
        <v>321</v>
      </c>
      <c r="B337" s="195" t="s">
        <v>17</v>
      </c>
      <c r="C337" s="192" t="s">
        <v>160</v>
      </c>
      <c r="D337" s="192" t="s">
        <v>555</v>
      </c>
      <c r="E337" s="192" t="s">
        <v>448</v>
      </c>
      <c r="F337" s="191">
        <v>100</v>
      </c>
      <c r="G337" s="39">
        <f>G338</f>
        <v>45.8</v>
      </c>
      <c r="H337" s="39">
        <f t="shared" ref="H337:I337" si="132">H338</f>
        <v>0</v>
      </c>
      <c r="I337" s="39">
        <f t="shared" si="132"/>
        <v>0</v>
      </c>
    </row>
    <row r="338" spans="1:11">
      <c r="A338" s="278">
        <v>322</v>
      </c>
      <c r="B338" s="195" t="s">
        <v>18</v>
      </c>
      <c r="C338" s="192" t="s">
        <v>160</v>
      </c>
      <c r="D338" s="192" t="s">
        <v>555</v>
      </c>
      <c r="E338" s="192" t="s">
        <v>448</v>
      </c>
      <c r="F338" s="191">
        <v>120</v>
      </c>
      <c r="G338" s="39">
        <v>45.8</v>
      </c>
      <c r="H338" s="39">
        <v>0</v>
      </c>
      <c r="I338" s="39">
        <v>0</v>
      </c>
      <c r="J338" s="213">
        <v>45.8</v>
      </c>
    </row>
    <row r="339" spans="1:11">
      <c r="A339" s="278">
        <v>323</v>
      </c>
      <c r="B339" s="195" t="s">
        <v>22</v>
      </c>
      <c r="C339" s="192" t="s">
        <v>160</v>
      </c>
      <c r="D339" s="192" t="s">
        <v>555</v>
      </c>
      <c r="E339" s="192" t="s">
        <v>448</v>
      </c>
      <c r="F339" s="191">
        <v>200</v>
      </c>
      <c r="G339" s="39">
        <f t="shared" si="130"/>
        <v>441.15</v>
      </c>
      <c r="H339" s="39">
        <f t="shared" si="130"/>
        <v>202.1</v>
      </c>
      <c r="I339" s="39">
        <f t="shared" si="130"/>
        <v>202.1</v>
      </c>
    </row>
    <row r="340" spans="1:11">
      <c r="A340" s="278">
        <v>324</v>
      </c>
      <c r="B340" s="195" t="s">
        <v>23</v>
      </c>
      <c r="C340" s="192" t="s">
        <v>160</v>
      </c>
      <c r="D340" s="192" t="s">
        <v>555</v>
      </c>
      <c r="E340" s="192" t="s">
        <v>448</v>
      </c>
      <c r="F340" s="191">
        <v>240</v>
      </c>
      <c r="G340" s="39">
        <f>202.1+239.05</f>
        <v>441.15</v>
      </c>
      <c r="H340" s="39">
        <v>202.1</v>
      </c>
      <c r="I340" s="39">
        <v>202.1</v>
      </c>
      <c r="J340" s="213">
        <v>239.05</v>
      </c>
    </row>
    <row r="341" spans="1:11">
      <c r="A341" s="278">
        <v>325</v>
      </c>
      <c r="B341" s="80" t="s">
        <v>117</v>
      </c>
      <c r="C341" s="55" t="s">
        <v>160</v>
      </c>
      <c r="D341" s="55" t="s">
        <v>118</v>
      </c>
      <c r="E341" s="59"/>
      <c r="F341" s="59"/>
      <c r="G341" s="39">
        <f>G348+G342</f>
        <v>82616.78</v>
      </c>
      <c r="H341" s="39">
        <f t="shared" ref="H341:I341" si="133">H348+H342</f>
        <v>1910.4</v>
      </c>
      <c r="I341" s="39">
        <f t="shared" si="133"/>
        <v>1910.4</v>
      </c>
    </row>
    <row r="342" spans="1:11">
      <c r="A342" s="278">
        <v>326</v>
      </c>
      <c r="B342" s="198" t="s">
        <v>68</v>
      </c>
      <c r="C342" s="55" t="s">
        <v>160</v>
      </c>
      <c r="D342" s="55" t="s">
        <v>121</v>
      </c>
      <c r="E342" s="215"/>
      <c r="F342" s="215"/>
      <c r="G342" s="216">
        <f>G343</f>
        <v>80808.08</v>
      </c>
      <c r="H342" s="216">
        <f t="shared" ref="H342:I342" si="134">H343</f>
        <v>0</v>
      </c>
      <c r="I342" s="216">
        <f t="shared" si="134"/>
        <v>0</v>
      </c>
    </row>
    <row r="343" spans="1:11" ht="30">
      <c r="A343" s="278">
        <v>327</v>
      </c>
      <c r="B343" s="198" t="s">
        <v>57</v>
      </c>
      <c r="C343" s="55" t="s">
        <v>160</v>
      </c>
      <c r="D343" s="55" t="s">
        <v>121</v>
      </c>
      <c r="E343" s="55" t="s">
        <v>193</v>
      </c>
      <c r="F343" s="134"/>
      <c r="G343" s="39">
        <f>G344</f>
        <v>80808.08</v>
      </c>
      <c r="H343" s="39">
        <f t="shared" ref="H343:I344" si="135">H344</f>
        <v>0</v>
      </c>
      <c r="I343" s="39">
        <f t="shared" si="135"/>
        <v>0</v>
      </c>
    </row>
    <row r="344" spans="1:11">
      <c r="A344" s="278">
        <v>328</v>
      </c>
      <c r="B344" s="198" t="s">
        <v>140</v>
      </c>
      <c r="C344" s="55" t="s">
        <v>160</v>
      </c>
      <c r="D344" s="55" t="s">
        <v>121</v>
      </c>
      <c r="E344" s="55" t="s">
        <v>208</v>
      </c>
      <c r="F344" s="134"/>
      <c r="G344" s="39">
        <f>G345</f>
        <v>80808.08</v>
      </c>
      <c r="H344" s="39">
        <f t="shared" si="135"/>
        <v>0</v>
      </c>
      <c r="I344" s="39">
        <f t="shared" si="135"/>
        <v>0</v>
      </c>
    </row>
    <row r="345" spans="1:11">
      <c r="A345" s="278">
        <v>329</v>
      </c>
      <c r="B345" s="210" t="s">
        <v>563</v>
      </c>
      <c r="C345" s="55" t="s">
        <v>160</v>
      </c>
      <c r="D345" s="55" t="s">
        <v>121</v>
      </c>
      <c r="E345" s="55" t="s">
        <v>552</v>
      </c>
      <c r="F345" s="134"/>
      <c r="G345" s="39">
        <f>G346</f>
        <v>80808.08</v>
      </c>
      <c r="H345" s="39">
        <f t="shared" ref="H345:I345" si="136">H346</f>
        <v>0</v>
      </c>
      <c r="I345" s="39">
        <f t="shared" si="136"/>
        <v>0</v>
      </c>
    </row>
    <row r="346" spans="1:11" ht="30">
      <c r="A346" s="278">
        <v>330</v>
      </c>
      <c r="B346" s="193" t="s">
        <v>162</v>
      </c>
      <c r="C346" s="55" t="s">
        <v>160</v>
      </c>
      <c r="D346" s="55" t="s">
        <v>121</v>
      </c>
      <c r="E346" s="55" t="s">
        <v>552</v>
      </c>
      <c r="F346" s="134">
        <v>400</v>
      </c>
      <c r="G346" s="39">
        <f>G347</f>
        <v>80808.08</v>
      </c>
      <c r="H346" s="39">
        <v>0</v>
      </c>
      <c r="I346" s="39">
        <v>0</v>
      </c>
    </row>
    <row r="347" spans="1:11">
      <c r="A347" s="278">
        <v>331</v>
      </c>
      <c r="B347" s="193" t="s">
        <v>163</v>
      </c>
      <c r="C347" s="55" t="s">
        <v>160</v>
      </c>
      <c r="D347" s="55" t="s">
        <v>121</v>
      </c>
      <c r="E347" s="55" t="s">
        <v>552</v>
      </c>
      <c r="F347" s="134">
        <v>410</v>
      </c>
      <c r="G347" s="39">
        <f>80000+808.08</f>
        <v>80808.08</v>
      </c>
      <c r="H347" s="39">
        <v>0</v>
      </c>
      <c r="I347" s="39">
        <v>0</v>
      </c>
      <c r="J347" s="213">
        <v>80000</v>
      </c>
      <c r="K347" s="240">
        <v>808.08</v>
      </c>
    </row>
    <row r="348" spans="1:11">
      <c r="A348" s="278">
        <v>332</v>
      </c>
      <c r="B348" s="64" t="s">
        <v>56</v>
      </c>
      <c r="C348" s="55" t="s">
        <v>160</v>
      </c>
      <c r="D348" s="55" t="s">
        <v>123</v>
      </c>
      <c r="E348" s="59"/>
      <c r="F348" s="59"/>
      <c r="G348" s="39">
        <f>G349</f>
        <v>1808.7</v>
      </c>
      <c r="H348" s="39">
        <f t="shared" ref="H348:I350" si="137">H349</f>
        <v>1910.4</v>
      </c>
      <c r="I348" s="39">
        <f t="shared" si="137"/>
        <v>1910.4</v>
      </c>
    </row>
    <row r="349" spans="1:11" ht="30">
      <c r="A349" s="278">
        <v>333</v>
      </c>
      <c r="B349" s="61" t="s">
        <v>57</v>
      </c>
      <c r="C349" s="55" t="s">
        <v>160</v>
      </c>
      <c r="D349" s="55" t="s">
        <v>123</v>
      </c>
      <c r="E349" s="55" t="s">
        <v>193</v>
      </c>
      <c r="F349" s="59"/>
      <c r="G349" s="39">
        <f>G350</f>
        <v>1808.7</v>
      </c>
      <c r="H349" s="39">
        <f t="shared" si="137"/>
        <v>1910.4</v>
      </c>
      <c r="I349" s="39">
        <f t="shared" si="137"/>
        <v>1910.4</v>
      </c>
    </row>
    <row r="350" spans="1:11">
      <c r="A350" s="278">
        <v>334</v>
      </c>
      <c r="B350" s="61" t="s">
        <v>58</v>
      </c>
      <c r="C350" s="55" t="s">
        <v>160</v>
      </c>
      <c r="D350" s="55" t="s">
        <v>123</v>
      </c>
      <c r="E350" s="55" t="s">
        <v>194</v>
      </c>
      <c r="F350" s="59"/>
      <c r="G350" s="39">
        <f>G351</f>
        <v>1808.7</v>
      </c>
      <c r="H350" s="39">
        <f t="shared" si="137"/>
        <v>1910.4</v>
      </c>
      <c r="I350" s="39">
        <f t="shared" si="137"/>
        <v>1910.4</v>
      </c>
    </row>
    <row r="351" spans="1:11" ht="45">
      <c r="A351" s="278">
        <v>335</v>
      </c>
      <c r="B351" s="99" t="s">
        <v>154</v>
      </c>
      <c r="C351" s="55" t="s">
        <v>160</v>
      </c>
      <c r="D351" s="55" t="s">
        <v>123</v>
      </c>
      <c r="E351" s="55" t="s">
        <v>195</v>
      </c>
      <c r="F351" s="59"/>
      <c r="G351" s="39">
        <f>G352+G354</f>
        <v>1808.7</v>
      </c>
      <c r="H351" s="39">
        <f>H352+H354</f>
        <v>1910.4</v>
      </c>
      <c r="I351" s="39">
        <f>I352+I354</f>
        <v>1910.4</v>
      </c>
    </row>
    <row r="352" spans="1:11" ht="45">
      <c r="A352" s="278">
        <v>336</v>
      </c>
      <c r="B352" s="64" t="s">
        <v>17</v>
      </c>
      <c r="C352" s="55" t="s">
        <v>160</v>
      </c>
      <c r="D352" s="55" t="s">
        <v>123</v>
      </c>
      <c r="E352" s="55" t="s">
        <v>195</v>
      </c>
      <c r="F352" s="59">
        <v>100</v>
      </c>
      <c r="G352" s="39">
        <f>G353</f>
        <v>1413.74</v>
      </c>
      <c r="H352" s="39">
        <f t="shared" ref="H352:I352" si="138">H353</f>
        <v>1515.44</v>
      </c>
      <c r="I352" s="39">
        <f t="shared" si="138"/>
        <v>1515.44</v>
      </c>
    </row>
    <row r="353" spans="1:12">
      <c r="A353" s="278">
        <v>337</v>
      </c>
      <c r="B353" s="64" t="s">
        <v>18</v>
      </c>
      <c r="C353" s="55" t="s">
        <v>160</v>
      </c>
      <c r="D353" s="55" t="s">
        <v>123</v>
      </c>
      <c r="E353" s="55" t="s">
        <v>195</v>
      </c>
      <c r="F353" s="59">
        <v>120</v>
      </c>
      <c r="G353" s="39">
        <f>1221.24+50+142.5</f>
        <v>1413.74</v>
      </c>
      <c r="H353" s="39">
        <f>1221.24+50+244.2</f>
        <v>1515.44</v>
      </c>
      <c r="I353" s="39">
        <f>1221.24+50+244.2</f>
        <v>1515.44</v>
      </c>
      <c r="J353" s="213">
        <v>142.5</v>
      </c>
      <c r="K353" s="213">
        <v>244.2</v>
      </c>
      <c r="L353" s="213">
        <v>244.2</v>
      </c>
    </row>
    <row r="354" spans="1:12">
      <c r="A354" s="278">
        <v>338</v>
      </c>
      <c r="B354" s="64" t="s">
        <v>22</v>
      </c>
      <c r="C354" s="55" t="s">
        <v>160</v>
      </c>
      <c r="D354" s="55" t="s">
        <v>123</v>
      </c>
      <c r="E354" s="55" t="s">
        <v>195</v>
      </c>
      <c r="F354" s="59">
        <v>200</v>
      </c>
      <c r="G354" s="39">
        <f>G355</f>
        <v>394.96</v>
      </c>
      <c r="H354" s="39">
        <f t="shared" ref="H354:I354" si="139">H355</f>
        <v>394.96</v>
      </c>
      <c r="I354" s="39">
        <f t="shared" si="139"/>
        <v>394.96</v>
      </c>
    </row>
    <row r="355" spans="1:12">
      <c r="A355" s="278">
        <v>339</v>
      </c>
      <c r="B355" s="64" t="s">
        <v>23</v>
      </c>
      <c r="C355" s="55" t="s">
        <v>160</v>
      </c>
      <c r="D355" s="55" t="s">
        <v>123</v>
      </c>
      <c r="E355" s="55" t="s">
        <v>195</v>
      </c>
      <c r="F355" s="59">
        <v>240</v>
      </c>
      <c r="G355" s="39">
        <f>444.96-50</f>
        <v>394.96</v>
      </c>
      <c r="H355" s="39">
        <f>444.96-50</f>
        <v>394.96</v>
      </c>
      <c r="I355" s="39">
        <f>444.96-50</f>
        <v>394.96</v>
      </c>
    </row>
    <row r="356" spans="1:12">
      <c r="A356" s="278">
        <v>340</v>
      </c>
      <c r="B356" s="80" t="s">
        <v>128</v>
      </c>
      <c r="C356" s="55" t="s">
        <v>160</v>
      </c>
      <c r="D356" s="55" t="s">
        <v>129</v>
      </c>
      <c r="E356" s="59"/>
      <c r="F356" s="59"/>
      <c r="G356" s="39">
        <f>G365+G371+G377+G357</f>
        <v>4343.3200000000006</v>
      </c>
      <c r="H356" s="39">
        <f t="shared" ref="H356:I356" si="140">H365+H371+H377+H357</f>
        <v>5786.34</v>
      </c>
      <c r="I356" s="39">
        <f t="shared" si="140"/>
        <v>5773.74</v>
      </c>
    </row>
    <row r="357" spans="1:12">
      <c r="A357" s="278">
        <v>341</v>
      </c>
      <c r="B357" s="80" t="s">
        <v>79</v>
      </c>
      <c r="C357" s="55" t="s">
        <v>160</v>
      </c>
      <c r="D357" s="55" t="s">
        <v>130</v>
      </c>
      <c r="E357" s="134"/>
      <c r="F357" s="134"/>
      <c r="G357" s="39">
        <f>G358</f>
        <v>1063.97</v>
      </c>
      <c r="H357" s="39">
        <f t="shared" ref="H357:I357" si="141">H358</f>
        <v>585.5</v>
      </c>
      <c r="I357" s="39">
        <f t="shared" si="141"/>
        <v>585.5</v>
      </c>
    </row>
    <row r="358" spans="1:12">
      <c r="A358" s="278">
        <v>342</v>
      </c>
      <c r="B358" s="80" t="s">
        <v>335</v>
      </c>
      <c r="C358" s="55" t="s">
        <v>160</v>
      </c>
      <c r="D358" s="55" t="s">
        <v>130</v>
      </c>
      <c r="E358" s="55" t="s">
        <v>187</v>
      </c>
      <c r="F358" s="134"/>
      <c r="G358" s="39">
        <f>G359</f>
        <v>1063.97</v>
      </c>
      <c r="H358" s="39">
        <f t="shared" ref="H358:I359" si="142">H359</f>
        <v>585.5</v>
      </c>
      <c r="I358" s="39">
        <f t="shared" si="142"/>
        <v>585.5</v>
      </c>
    </row>
    <row r="359" spans="1:12">
      <c r="A359" s="278">
        <v>343</v>
      </c>
      <c r="B359" s="80" t="s">
        <v>458</v>
      </c>
      <c r="C359" s="55" t="s">
        <v>160</v>
      </c>
      <c r="D359" s="55" t="s">
        <v>130</v>
      </c>
      <c r="E359" s="55" t="s">
        <v>447</v>
      </c>
      <c r="F359" s="134"/>
      <c r="G359" s="39">
        <f>G360</f>
        <v>1063.97</v>
      </c>
      <c r="H359" s="39">
        <f t="shared" si="142"/>
        <v>585.5</v>
      </c>
      <c r="I359" s="39">
        <f t="shared" si="142"/>
        <v>585.5</v>
      </c>
    </row>
    <row r="360" spans="1:12" ht="60">
      <c r="A360" s="278">
        <v>344</v>
      </c>
      <c r="B360" s="136" t="s">
        <v>459</v>
      </c>
      <c r="C360" s="55" t="s">
        <v>160</v>
      </c>
      <c r="D360" s="55" t="s">
        <v>130</v>
      </c>
      <c r="E360" s="55" t="s">
        <v>460</v>
      </c>
      <c r="F360" s="134"/>
      <c r="G360" s="39">
        <f>G361+G363</f>
        <v>1063.97</v>
      </c>
      <c r="H360" s="39">
        <f t="shared" ref="H360:I360" si="143">H361+H363</f>
        <v>585.5</v>
      </c>
      <c r="I360" s="39">
        <f t="shared" si="143"/>
        <v>585.5</v>
      </c>
    </row>
    <row r="361" spans="1:12">
      <c r="A361" s="278">
        <v>345</v>
      </c>
      <c r="B361" s="242" t="s">
        <v>80</v>
      </c>
      <c r="C361" s="55" t="s">
        <v>160</v>
      </c>
      <c r="D361" s="55" t="s">
        <v>130</v>
      </c>
      <c r="E361" s="55" t="s">
        <v>460</v>
      </c>
      <c r="F361" s="134">
        <v>300</v>
      </c>
      <c r="G361" s="39">
        <f>G362</f>
        <v>1060.47</v>
      </c>
      <c r="H361" s="39">
        <f t="shared" ref="H361:I361" si="144">H362</f>
        <v>582</v>
      </c>
      <c r="I361" s="39">
        <f t="shared" si="144"/>
        <v>582</v>
      </c>
    </row>
    <row r="362" spans="1:12">
      <c r="A362" s="278">
        <v>346</v>
      </c>
      <c r="B362" s="80" t="s">
        <v>461</v>
      </c>
      <c r="C362" s="55" t="s">
        <v>160</v>
      </c>
      <c r="D362" s="55" t="s">
        <v>130</v>
      </c>
      <c r="E362" s="55" t="s">
        <v>460</v>
      </c>
      <c r="F362" s="134">
        <v>310</v>
      </c>
      <c r="G362" s="39">
        <f>582+478.47</f>
        <v>1060.47</v>
      </c>
      <c r="H362" s="39">
        <v>582</v>
      </c>
      <c r="I362" s="39">
        <v>582</v>
      </c>
      <c r="J362" s="240">
        <v>478.47</v>
      </c>
    </row>
    <row r="363" spans="1:12">
      <c r="A363" s="278">
        <v>347</v>
      </c>
      <c r="B363" s="102" t="s">
        <v>22</v>
      </c>
      <c r="C363" s="55" t="s">
        <v>160</v>
      </c>
      <c r="D363" s="55" t="s">
        <v>130</v>
      </c>
      <c r="E363" s="55" t="s">
        <v>460</v>
      </c>
      <c r="F363" s="134">
        <v>200</v>
      </c>
      <c r="G363" s="39">
        <f>G364</f>
        <v>3.5</v>
      </c>
      <c r="H363" s="39">
        <f t="shared" ref="H363:I363" si="145">H364</f>
        <v>3.5</v>
      </c>
      <c r="I363" s="39">
        <f t="shared" si="145"/>
        <v>3.5</v>
      </c>
    </row>
    <row r="364" spans="1:12">
      <c r="A364" s="278">
        <v>348</v>
      </c>
      <c r="B364" s="102" t="s">
        <v>23</v>
      </c>
      <c r="C364" s="55" t="s">
        <v>160</v>
      </c>
      <c r="D364" s="55" t="s">
        <v>130</v>
      </c>
      <c r="E364" s="55" t="s">
        <v>460</v>
      </c>
      <c r="F364" s="134">
        <v>240</v>
      </c>
      <c r="G364" s="39">
        <v>3.5</v>
      </c>
      <c r="H364" s="39">
        <v>3.5</v>
      </c>
      <c r="I364" s="39">
        <v>3.5</v>
      </c>
    </row>
    <row r="365" spans="1:12">
      <c r="A365" s="278">
        <v>349</v>
      </c>
      <c r="B365" s="64" t="s">
        <v>81</v>
      </c>
      <c r="C365" s="55" t="s">
        <v>160</v>
      </c>
      <c r="D365" s="55" t="s">
        <v>131</v>
      </c>
      <c r="E365" s="55"/>
      <c r="F365" s="59"/>
      <c r="G365" s="39">
        <f t="shared" ref="G365:G369" si="146">G366</f>
        <v>2058.92</v>
      </c>
      <c r="H365" s="39">
        <f t="shared" ref="H365:I368" si="147">H366</f>
        <v>2020.64</v>
      </c>
      <c r="I365" s="39">
        <f t="shared" si="147"/>
        <v>2008.04</v>
      </c>
    </row>
    <row r="366" spans="1:12" ht="30">
      <c r="A366" s="278">
        <v>350</v>
      </c>
      <c r="B366" s="60" t="s">
        <v>60</v>
      </c>
      <c r="C366" s="55" t="s">
        <v>160</v>
      </c>
      <c r="D366" s="55" t="s">
        <v>131</v>
      </c>
      <c r="E366" s="59">
        <v>1100000000</v>
      </c>
      <c r="F366" s="59"/>
      <c r="G366" s="39">
        <f t="shared" si="146"/>
        <v>2058.92</v>
      </c>
      <c r="H366" s="39">
        <f t="shared" si="147"/>
        <v>2020.64</v>
      </c>
      <c r="I366" s="39">
        <f t="shared" si="147"/>
        <v>2008.04</v>
      </c>
    </row>
    <row r="367" spans="1:12">
      <c r="A367" s="278">
        <v>351</v>
      </c>
      <c r="B367" s="60" t="s">
        <v>146</v>
      </c>
      <c r="C367" s="55" t="s">
        <v>160</v>
      </c>
      <c r="D367" s="55" t="s">
        <v>131</v>
      </c>
      <c r="E367" s="59">
        <v>1120000000</v>
      </c>
      <c r="F367" s="59"/>
      <c r="G367" s="39">
        <f t="shared" si="146"/>
        <v>2058.92</v>
      </c>
      <c r="H367" s="39">
        <f t="shared" si="147"/>
        <v>2020.64</v>
      </c>
      <c r="I367" s="39">
        <f t="shared" si="147"/>
        <v>2008.04</v>
      </c>
    </row>
    <row r="368" spans="1:12">
      <c r="A368" s="278">
        <v>352</v>
      </c>
      <c r="B368" s="61" t="s">
        <v>152</v>
      </c>
      <c r="C368" s="55" t="s">
        <v>160</v>
      </c>
      <c r="D368" s="55" t="s">
        <v>131</v>
      </c>
      <c r="E368" s="92" t="s">
        <v>288</v>
      </c>
      <c r="F368" s="59"/>
      <c r="G368" s="39">
        <f t="shared" si="146"/>
        <v>2058.92</v>
      </c>
      <c r="H368" s="39">
        <f t="shared" si="147"/>
        <v>2020.64</v>
      </c>
      <c r="I368" s="39">
        <f t="shared" si="147"/>
        <v>2008.04</v>
      </c>
    </row>
    <row r="369" spans="1:13">
      <c r="A369" s="278">
        <v>353</v>
      </c>
      <c r="B369" s="64" t="s">
        <v>80</v>
      </c>
      <c r="C369" s="55" t="s">
        <v>160</v>
      </c>
      <c r="D369" s="55" t="s">
        <v>131</v>
      </c>
      <c r="E369" s="92" t="s">
        <v>288</v>
      </c>
      <c r="F369" s="59">
        <v>300</v>
      </c>
      <c r="G369" s="39">
        <f t="shared" si="146"/>
        <v>2058.92</v>
      </c>
      <c r="H369" s="39">
        <f t="shared" ref="H369:I369" si="148">H370</f>
        <v>2020.64</v>
      </c>
      <c r="I369" s="39">
        <f t="shared" si="148"/>
        <v>2008.04</v>
      </c>
    </row>
    <row r="370" spans="1:13">
      <c r="A370" s="278">
        <v>354</v>
      </c>
      <c r="B370" s="64" t="s">
        <v>84</v>
      </c>
      <c r="C370" s="55" t="s">
        <v>160</v>
      </c>
      <c r="D370" s="55" t="s">
        <v>131</v>
      </c>
      <c r="E370" s="92" t="s">
        <v>288</v>
      </c>
      <c r="F370" s="59">
        <v>320</v>
      </c>
      <c r="G370" s="39">
        <f>730+35+1298.92-5</f>
        <v>2058.92</v>
      </c>
      <c r="H370" s="39">
        <f>655+1365.64</f>
        <v>2020.64</v>
      </c>
      <c r="I370" s="39">
        <f>655+1353.04</f>
        <v>2008.04</v>
      </c>
      <c r="J370" s="213">
        <v>1298.92</v>
      </c>
      <c r="K370" s="213">
        <v>1365.64</v>
      </c>
      <c r="L370" s="213">
        <v>1353.04</v>
      </c>
      <c r="M370" s="241">
        <v>-5</v>
      </c>
    </row>
    <row r="371" spans="1:13">
      <c r="A371" s="278">
        <v>355</v>
      </c>
      <c r="B371" s="47" t="s">
        <v>61</v>
      </c>
      <c r="C371" s="55" t="s">
        <v>160</v>
      </c>
      <c r="D371" s="43" t="s">
        <v>175</v>
      </c>
      <c r="E371" s="42"/>
      <c r="F371" s="42"/>
      <c r="G371" s="39">
        <f>G372</f>
        <v>0</v>
      </c>
      <c r="H371" s="39">
        <f t="shared" ref="H371:I374" si="149">H372</f>
        <v>1430.4</v>
      </c>
      <c r="I371" s="39">
        <f t="shared" si="149"/>
        <v>1430.4</v>
      </c>
    </row>
    <row r="372" spans="1:13" ht="30">
      <c r="A372" s="278">
        <v>356</v>
      </c>
      <c r="B372" s="60" t="s">
        <v>60</v>
      </c>
      <c r="C372" s="55" t="s">
        <v>160</v>
      </c>
      <c r="D372" s="43" t="s">
        <v>175</v>
      </c>
      <c r="E372" s="42">
        <v>1100000000</v>
      </c>
      <c r="F372" s="42"/>
      <c r="G372" s="39">
        <f>G373</f>
        <v>0</v>
      </c>
      <c r="H372" s="39">
        <f t="shared" si="149"/>
        <v>1430.4</v>
      </c>
      <c r="I372" s="39">
        <f t="shared" si="149"/>
        <v>1430.4</v>
      </c>
    </row>
    <row r="373" spans="1:13" ht="30">
      <c r="A373" s="278">
        <v>357</v>
      </c>
      <c r="B373" s="61" t="s">
        <v>161</v>
      </c>
      <c r="C373" s="55" t="s">
        <v>160</v>
      </c>
      <c r="D373" s="43" t="s">
        <v>175</v>
      </c>
      <c r="E373" s="42">
        <v>1150000000</v>
      </c>
      <c r="F373" s="42"/>
      <c r="G373" s="39">
        <f>G374</f>
        <v>0</v>
      </c>
      <c r="H373" s="39">
        <f t="shared" si="149"/>
        <v>1430.4</v>
      </c>
      <c r="I373" s="39">
        <f t="shared" si="149"/>
        <v>1430.4</v>
      </c>
    </row>
    <row r="374" spans="1:13" ht="45">
      <c r="A374" s="278">
        <v>358</v>
      </c>
      <c r="B374" s="112" t="s">
        <v>437</v>
      </c>
      <c r="C374" s="55" t="s">
        <v>160</v>
      </c>
      <c r="D374" s="43" t="s">
        <v>175</v>
      </c>
      <c r="E374" s="156" t="s">
        <v>289</v>
      </c>
      <c r="F374" s="42"/>
      <c r="G374" s="39">
        <f>G375</f>
        <v>0</v>
      </c>
      <c r="H374" s="39">
        <f t="shared" si="149"/>
        <v>1430.4</v>
      </c>
      <c r="I374" s="39">
        <f t="shared" si="149"/>
        <v>1430.4</v>
      </c>
    </row>
    <row r="375" spans="1:13" ht="30">
      <c r="A375" s="278">
        <v>359</v>
      </c>
      <c r="B375" s="63" t="s">
        <v>162</v>
      </c>
      <c r="C375" s="55" t="s">
        <v>160</v>
      </c>
      <c r="D375" s="43" t="s">
        <v>175</v>
      </c>
      <c r="E375" s="156" t="s">
        <v>289</v>
      </c>
      <c r="F375" s="42">
        <v>400</v>
      </c>
      <c r="G375" s="39">
        <f>G376</f>
        <v>0</v>
      </c>
      <c r="H375" s="39">
        <f t="shared" ref="H375:I375" si="150">H376</f>
        <v>1430.4</v>
      </c>
      <c r="I375" s="39">
        <f t="shared" si="150"/>
        <v>1430.4</v>
      </c>
    </row>
    <row r="376" spans="1:13">
      <c r="A376" s="278">
        <v>360</v>
      </c>
      <c r="B376" s="63" t="s">
        <v>163</v>
      </c>
      <c r="C376" s="55" t="s">
        <v>160</v>
      </c>
      <c r="D376" s="43" t="s">
        <v>175</v>
      </c>
      <c r="E376" s="156" t="s">
        <v>289</v>
      </c>
      <c r="F376" s="42">
        <v>410</v>
      </c>
      <c r="G376" s="39">
        <v>0</v>
      </c>
      <c r="H376" s="39">
        <v>1430.4</v>
      </c>
      <c r="I376" s="39">
        <v>1430.4</v>
      </c>
    </row>
    <row r="377" spans="1:13" ht="15.75">
      <c r="A377" s="278">
        <v>361</v>
      </c>
      <c r="B377" s="17" t="s">
        <v>82</v>
      </c>
      <c r="C377" s="55" t="s">
        <v>160</v>
      </c>
      <c r="D377" s="43" t="s">
        <v>132</v>
      </c>
      <c r="E377" s="42"/>
      <c r="F377" s="42"/>
      <c r="G377" s="39">
        <f>G378+G391</f>
        <v>1220.43</v>
      </c>
      <c r="H377" s="39">
        <f t="shared" ref="H377:I377" si="151">H378+H391</f>
        <v>1749.8000000000002</v>
      </c>
      <c r="I377" s="39">
        <f t="shared" si="151"/>
        <v>1749.8000000000002</v>
      </c>
    </row>
    <row r="378" spans="1:13">
      <c r="A378" s="278">
        <v>362</v>
      </c>
      <c r="B378" s="101" t="s">
        <v>270</v>
      </c>
      <c r="C378" s="55" t="s">
        <v>160</v>
      </c>
      <c r="D378" s="43" t="s">
        <v>132</v>
      </c>
      <c r="E378" s="114">
        <v>8500000000</v>
      </c>
      <c r="F378" s="42"/>
      <c r="G378" s="39">
        <f>G379</f>
        <v>806.5</v>
      </c>
      <c r="H378" s="39">
        <f t="shared" ref="H378:I378" si="152">H379</f>
        <v>857.40000000000009</v>
      </c>
      <c r="I378" s="39">
        <f t="shared" si="152"/>
        <v>857.40000000000009</v>
      </c>
    </row>
    <row r="379" spans="1:13">
      <c r="A379" s="278">
        <v>363</v>
      </c>
      <c r="B379" s="101" t="s">
        <v>271</v>
      </c>
      <c r="C379" s="55" t="s">
        <v>160</v>
      </c>
      <c r="D379" s="43" t="s">
        <v>132</v>
      </c>
      <c r="E379" s="114">
        <v>8510000000</v>
      </c>
      <c r="F379" s="42"/>
      <c r="G379" s="39">
        <f>G386+G380+G383</f>
        <v>806.5</v>
      </c>
      <c r="H379" s="39">
        <f t="shared" ref="H379:I379" si="153">H386+H380+H383</f>
        <v>857.40000000000009</v>
      </c>
      <c r="I379" s="39">
        <f t="shared" si="153"/>
        <v>857.40000000000009</v>
      </c>
    </row>
    <row r="380" spans="1:13" ht="30">
      <c r="A380" s="278">
        <v>364</v>
      </c>
      <c r="B380" s="170" t="s">
        <v>503</v>
      </c>
      <c r="C380" s="55" t="s">
        <v>160</v>
      </c>
      <c r="D380" s="167" t="s">
        <v>132</v>
      </c>
      <c r="E380" s="134" t="s">
        <v>518</v>
      </c>
      <c r="F380" s="165"/>
      <c r="G380" s="39">
        <f>G381</f>
        <v>0</v>
      </c>
      <c r="H380" s="39">
        <f t="shared" ref="H380:I381" si="154">H381</f>
        <v>0</v>
      </c>
      <c r="I380" s="39">
        <f t="shared" si="154"/>
        <v>0</v>
      </c>
    </row>
    <row r="381" spans="1:13">
      <c r="A381" s="278">
        <v>365</v>
      </c>
      <c r="B381" s="168" t="s">
        <v>18</v>
      </c>
      <c r="C381" s="55" t="s">
        <v>160</v>
      </c>
      <c r="D381" s="167" t="s">
        <v>132</v>
      </c>
      <c r="E381" s="134" t="s">
        <v>518</v>
      </c>
      <c r="F381" s="165">
        <v>100</v>
      </c>
      <c r="G381" s="39">
        <f>G382</f>
        <v>0</v>
      </c>
      <c r="H381" s="39">
        <f t="shared" si="154"/>
        <v>0</v>
      </c>
      <c r="I381" s="39">
        <f t="shared" si="154"/>
        <v>0</v>
      </c>
    </row>
    <row r="382" spans="1:13">
      <c r="A382" s="278">
        <v>366</v>
      </c>
      <c r="B382" s="168" t="s">
        <v>22</v>
      </c>
      <c r="C382" s="55" t="s">
        <v>160</v>
      </c>
      <c r="D382" s="167" t="s">
        <v>132</v>
      </c>
      <c r="E382" s="134" t="s">
        <v>518</v>
      </c>
      <c r="F382" s="165">
        <v>120</v>
      </c>
      <c r="G382" s="39">
        <f>80.81-80.81</f>
        <v>0</v>
      </c>
      <c r="H382" s="39">
        <v>0</v>
      </c>
      <c r="I382" s="39">
        <v>0</v>
      </c>
      <c r="J382" s="240">
        <v>-80.81</v>
      </c>
    </row>
    <row r="383" spans="1:13" ht="30">
      <c r="A383" s="278">
        <v>367</v>
      </c>
      <c r="B383" s="210" t="s">
        <v>503</v>
      </c>
      <c r="C383" s="55" t="s">
        <v>160</v>
      </c>
      <c r="D383" s="167" t="s">
        <v>132</v>
      </c>
      <c r="E383" s="134">
        <v>8510000060</v>
      </c>
      <c r="F383" s="165"/>
      <c r="G383" s="39">
        <f>G384</f>
        <v>0</v>
      </c>
      <c r="H383" s="39">
        <f t="shared" ref="H383:I384" si="155">H384</f>
        <v>0</v>
      </c>
      <c r="I383" s="39">
        <f t="shared" si="155"/>
        <v>0</v>
      </c>
    </row>
    <row r="384" spans="1:13">
      <c r="A384" s="278">
        <v>368</v>
      </c>
      <c r="B384" s="168" t="s">
        <v>18</v>
      </c>
      <c r="C384" s="55" t="s">
        <v>160</v>
      </c>
      <c r="D384" s="167" t="s">
        <v>132</v>
      </c>
      <c r="E384" s="134">
        <v>8510000060</v>
      </c>
      <c r="F384" s="165">
        <v>100</v>
      </c>
      <c r="G384" s="39">
        <f>G385</f>
        <v>0</v>
      </c>
      <c r="H384" s="39">
        <f t="shared" si="155"/>
        <v>0</v>
      </c>
      <c r="I384" s="39">
        <f t="shared" si="155"/>
        <v>0</v>
      </c>
    </row>
    <row r="385" spans="1:12">
      <c r="A385" s="278">
        <v>369</v>
      </c>
      <c r="B385" s="168" t="s">
        <v>22</v>
      </c>
      <c r="C385" s="55" t="s">
        <v>160</v>
      </c>
      <c r="D385" s="167" t="s">
        <v>132</v>
      </c>
      <c r="E385" s="134">
        <v>8510000060</v>
      </c>
      <c r="F385" s="165">
        <v>120</v>
      </c>
      <c r="G385" s="39">
        <f>130-130</f>
        <v>0</v>
      </c>
      <c r="H385" s="39">
        <v>0</v>
      </c>
      <c r="I385" s="39">
        <v>0</v>
      </c>
      <c r="J385" s="240">
        <v>-130</v>
      </c>
    </row>
    <row r="386" spans="1:12" ht="30">
      <c r="A386" s="278">
        <v>370</v>
      </c>
      <c r="B386" s="115" t="s">
        <v>454</v>
      </c>
      <c r="C386" s="55" t="s">
        <v>160</v>
      </c>
      <c r="D386" s="43" t="s">
        <v>132</v>
      </c>
      <c r="E386" s="114">
        <v>8510002890</v>
      </c>
      <c r="F386" s="42"/>
      <c r="G386" s="39">
        <f>G387+G389</f>
        <v>806.5</v>
      </c>
      <c r="H386" s="39">
        <f t="shared" ref="H386:I386" si="156">H387+H389</f>
        <v>857.40000000000009</v>
      </c>
      <c r="I386" s="39">
        <f t="shared" si="156"/>
        <v>857.40000000000009</v>
      </c>
    </row>
    <row r="387" spans="1:12" ht="45">
      <c r="A387" s="278">
        <v>371</v>
      </c>
      <c r="B387" s="102" t="s">
        <v>17</v>
      </c>
      <c r="C387" s="55" t="s">
        <v>160</v>
      </c>
      <c r="D387" s="43" t="s">
        <v>132</v>
      </c>
      <c r="E387" s="114">
        <v>8510002890</v>
      </c>
      <c r="F387" s="42">
        <v>100</v>
      </c>
      <c r="G387" s="39">
        <f>G388</f>
        <v>681.82</v>
      </c>
      <c r="H387" s="39">
        <f t="shared" ref="H387:I387" si="157">H388</f>
        <v>732.72</v>
      </c>
      <c r="I387" s="39">
        <f t="shared" si="157"/>
        <v>732.72</v>
      </c>
    </row>
    <row r="388" spans="1:12">
      <c r="A388" s="278">
        <v>372</v>
      </c>
      <c r="B388" s="102" t="s">
        <v>18</v>
      </c>
      <c r="C388" s="55" t="s">
        <v>160</v>
      </c>
      <c r="D388" s="43" t="s">
        <v>132</v>
      </c>
      <c r="E388" s="114">
        <v>8510002890</v>
      </c>
      <c r="F388" s="42">
        <v>120</v>
      </c>
      <c r="G388" s="39">
        <f>610.62+71.2</f>
        <v>681.82</v>
      </c>
      <c r="H388" s="39">
        <f>610.62+122.1</f>
        <v>732.72</v>
      </c>
      <c r="I388" s="39">
        <f>610.62+122.1</f>
        <v>732.72</v>
      </c>
      <c r="J388" s="213">
        <v>71.2</v>
      </c>
      <c r="K388" s="213">
        <v>122.1</v>
      </c>
      <c r="L388" s="213">
        <v>122.1</v>
      </c>
    </row>
    <row r="389" spans="1:12">
      <c r="A389" s="278">
        <v>373</v>
      </c>
      <c r="B389" s="102" t="s">
        <v>22</v>
      </c>
      <c r="C389" s="55" t="s">
        <v>160</v>
      </c>
      <c r="D389" s="43" t="s">
        <v>132</v>
      </c>
      <c r="E389" s="114">
        <v>8510002890</v>
      </c>
      <c r="F389" s="42">
        <v>200</v>
      </c>
      <c r="G389" s="39">
        <f>G390</f>
        <v>124.68</v>
      </c>
      <c r="H389" s="39">
        <f t="shared" ref="H389:I389" si="158">H390</f>
        <v>124.68</v>
      </c>
      <c r="I389" s="39">
        <f t="shared" si="158"/>
        <v>124.68</v>
      </c>
    </row>
    <row r="390" spans="1:12">
      <c r="A390" s="278">
        <v>374</v>
      </c>
      <c r="B390" s="102" t="s">
        <v>23</v>
      </c>
      <c r="C390" s="55" t="s">
        <v>160</v>
      </c>
      <c r="D390" s="43" t="s">
        <v>132</v>
      </c>
      <c r="E390" s="114">
        <v>8510002890</v>
      </c>
      <c r="F390" s="42">
        <v>240</v>
      </c>
      <c r="G390" s="39">
        <v>124.68</v>
      </c>
      <c r="H390" s="39">
        <v>124.68</v>
      </c>
      <c r="I390" s="39">
        <v>124.68</v>
      </c>
    </row>
    <row r="391" spans="1:12">
      <c r="A391" s="278">
        <v>375</v>
      </c>
      <c r="B391" s="80" t="s">
        <v>335</v>
      </c>
      <c r="C391" s="55" t="s">
        <v>160</v>
      </c>
      <c r="D391" s="43" t="s">
        <v>132</v>
      </c>
      <c r="E391" s="55" t="s">
        <v>187</v>
      </c>
      <c r="F391" s="42"/>
      <c r="G391" s="39">
        <f>G392</f>
        <v>413.93</v>
      </c>
      <c r="H391" s="39">
        <f t="shared" ref="H391:I394" si="159">H392</f>
        <v>892.4</v>
      </c>
      <c r="I391" s="39">
        <f t="shared" si="159"/>
        <v>892.4</v>
      </c>
    </row>
    <row r="392" spans="1:12">
      <c r="A392" s="278">
        <v>376</v>
      </c>
      <c r="B392" s="80" t="s">
        <v>458</v>
      </c>
      <c r="C392" s="55" t="s">
        <v>160</v>
      </c>
      <c r="D392" s="43" t="s">
        <v>132</v>
      </c>
      <c r="E392" s="55" t="s">
        <v>447</v>
      </c>
      <c r="F392" s="42"/>
      <c r="G392" s="39">
        <f>G393+G398</f>
        <v>413.93</v>
      </c>
      <c r="H392" s="39">
        <f t="shared" ref="H392:I392" si="160">H393+H398</f>
        <v>892.4</v>
      </c>
      <c r="I392" s="39">
        <f t="shared" si="160"/>
        <v>892.4</v>
      </c>
    </row>
    <row r="393" spans="1:12" ht="45">
      <c r="A393" s="278">
        <v>377</v>
      </c>
      <c r="B393" s="248" t="s">
        <v>474</v>
      </c>
      <c r="C393" s="55" t="s">
        <v>160</v>
      </c>
      <c r="D393" s="43" t="s">
        <v>132</v>
      </c>
      <c r="E393" s="55" t="s">
        <v>462</v>
      </c>
      <c r="F393" s="42"/>
      <c r="G393" s="39">
        <f>G394+G396</f>
        <v>287</v>
      </c>
      <c r="H393" s="39">
        <f t="shared" ref="H393:I393" si="161">H394+H396</f>
        <v>737</v>
      </c>
      <c r="I393" s="39">
        <f t="shared" si="161"/>
        <v>737</v>
      </c>
    </row>
    <row r="394" spans="1:12">
      <c r="A394" s="278">
        <v>378</v>
      </c>
      <c r="B394" s="135" t="s">
        <v>152</v>
      </c>
      <c r="C394" s="55" t="s">
        <v>160</v>
      </c>
      <c r="D394" s="43" t="s">
        <v>132</v>
      </c>
      <c r="E394" s="55" t="s">
        <v>462</v>
      </c>
      <c r="F394" s="134">
        <v>300</v>
      </c>
      <c r="G394" s="39">
        <f>G395</f>
        <v>282.60000000000002</v>
      </c>
      <c r="H394" s="39">
        <f t="shared" si="159"/>
        <v>732.6</v>
      </c>
      <c r="I394" s="39">
        <f t="shared" si="159"/>
        <v>732.6</v>
      </c>
    </row>
    <row r="395" spans="1:12">
      <c r="A395" s="278">
        <v>379</v>
      </c>
      <c r="B395" s="80" t="s">
        <v>461</v>
      </c>
      <c r="C395" s="55" t="s">
        <v>160</v>
      </c>
      <c r="D395" s="43" t="s">
        <v>132</v>
      </c>
      <c r="E395" s="55" t="s">
        <v>462</v>
      </c>
      <c r="F395" s="134">
        <v>310</v>
      </c>
      <c r="G395" s="39">
        <f>732.6-450</f>
        <v>282.60000000000002</v>
      </c>
      <c r="H395" s="39">
        <v>732.6</v>
      </c>
      <c r="I395" s="39">
        <v>732.6</v>
      </c>
      <c r="J395" s="240">
        <v>-450</v>
      </c>
    </row>
    <row r="396" spans="1:12">
      <c r="A396" s="278">
        <v>380</v>
      </c>
      <c r="B396" s="102" t="s">
        <v>22</v>
      </c>
      <c r="C396" s="55" t="s">
        <v>160</v>
      </c>
      <c r="D396" s="43" t="s">
        <v>132</v>
      </c>
      <c r="E396" s="55" t="s">
        <v>462</v>
      </c>
      <c r="F396" s="134">
        <v>200</v>
      </c>
      <c r="G396" s="39">
        <f>G397</f>
        <v>4.4000000000000004</v>
      </c>
      <c r="H396" s="39">
        <f t="shared" ref="H396:I396" si="162">H397</f>
        <v>4.4000000000000004</v>
      </c>
      <c r="I396" s="39">
        <f t="shared" si="162"/>
        <v>4.4000000000000004</v>
      </c>
    </row>
    <row r="397" spans="1:12">
      <c r="A397" s="278">
        <v>381</v>
      </c>
      <c r="B397" s="102" t="s">
        <v>23</v>
      </c>
      <c r="C397" s="55" t="s">
        <v>160</v>
      </c>
      <c r="D397" s="43" t="s">
        <v>132</v>
      </c>
      <c r="E397" s="55" t="s">
        <v>462</v>
      </c>
      <c r="F397" s="134">
        <v>240</v>
      </c>
      <c r="G397" s="39">
        <v>4.4000000000000004</v>
      </c>
      <c r="H397" s="39">
        <v>4.4000000000000004</v>
      </c>
      <c r="I397" s="39">
        <v>4.4000000000000004</v>
      </c>
    </row>
    <row r="398" spans="1:12" ht="35.25" customHeight="1">
      <c r="A398" s="278">
        <v>382</v>
      </c>
      <c r="B398" s="248" t="s">
        <v>463</v>
      </c>
      <c r="C398" s="55" t="s">
        <v>160</v>
      </c>
      <c r="D398" s="43" t="s">
        <v>132</v>
      </c>
      <c r="E398" s="55" t="s">
        <v>464</v>
      </c>
      <c r="F398" s="42"/>
      <c r="G398" s="39">
        <f>G399+G401</f>
        <v>126.93</v>
      </c>
      <c r="H398" s="39">
        <f t="shared" ref="H398:I398" si="163">H399+H401</f>
        <v>155.4</v>
      </c>
      <c r="I398" s="39">
        <f t="shared" si="163"/>
        <v>155.4</v>
      </c>
    </row>
    <row r="399" spans="1:12" ht="21" customHeight="1">
      <c r="A399" s="278">
        <v>383</v>
      </c>
      <c r="B399" s="135" t="s">
        <v>152</v>
      </c>
      <c r="C399" s="55" t="s">
        <v>160</v>
      </c>
      <c r="D399" s="43" t="s">
        <v>132</v>
      </c>
      <c r="E399" s="55" t="s">
        <v>464</v>
      </c>
      <c r="F399" s="42">
        <v>300</v>
      </c>
      <c r="G399" s="39">
        <f>G400</f>
        <v>116.22</v>
      </c>
      <c r="H399" s="39">
        <f t="shared" ref="H399:I399" si="164">H400</f>
        <v>154.4</v>
      </c>
      <c r="I399" s="39">
        <f t="shared" si="164"/>
        <v>154.4</v>
      </c>
    </row>
    <row r="400" spans="1:12">
      <c r="A400" s="278">
        <v>384</v>
      </c>
      <c r="B400" s="80" t="s">
        <v>84</v>
      </c>
      <c r="C400" s="55" t="s">
        <v>160</v>
      </c>
      <c r="D400" s="43" t="s">
        <v>132</v>
      </c>
      <c r="E400" s="55" t="s">
        <v>464</v>
      </c>
      <c r="F400" s="42">
        <v>320</v>
      </c>
      <c r="G400" s="39">
        <f>154.4-9.71-28.47</f>
        <v>116.22</v>
      </c>
      <c r="H400" s="39">
        <v>154.4</v>
      </c>
      <c r="I400" s="39">
        <v>154.4</v>
      </c>
      <c r="J400" s="110">
        <v>-9.7100000000000009</v>
      </c>
      <c r="K400" s="240">
        <v>-28.47</v>
      </c>
    </row>
    <row r="401" spans="1:10">
      <c r="A401" s="278">
        <v>385</v>
      </c>
      <c r="B401" s="102" t="s">
        <v>22</v>
      </c>
      <c r="C401" s="55" t="s">
        <v>160</v>
      </c>
      <c r="D401" s="43" t="s">
        <v>132</v>
      </c>
      <c r="E401" s="55" t="s">
        <v>464</v>
      </c>
      <c r="F401" s="42">
        <v>200</v>
      </c>
      <c r="G401" s="39">
        <f>G402</f>
        <v>10.71</v>
      </c>
      <c r="H401" s="39">
        <f t="shared" ref="H401:I401" si="165">H402</f>
        <v>1</v>
      </c>
      <c r="I401" s="39">
        <f t="shared" si="165"/>
        <v>1</v>
      </c>
    </row>
    <row r="402" spans="1:10">
      <c r="A402" s="278">
        <v>386</v>
      </c>
      <c r="B402" s="102" t="s">
        <v>23</v>
      </c>
      <c r="C402" s="55" t="s">
        <v>160</v>
      </c>
      <c r="D402" s="43" t="s">
        <v>132</v>
      </c>
      <c r="E402" s="55" t="s">
        <v>464</v>
      </c>
      <c r="F402" s="42">
        <v>240</v>
      </c>
      <c r="G402" s="39">
        <f>1+9.71</f>
        <v>10.71</v>
      </c>
      <c r="H402" s="39">
        <v>1</v>
      </c>
      <c r="I402" s="39">
        <v>1</v>
      </c>
      <c r="J402" s="110">
        <v>9.7100000000000009</v>
      </c>
    </row>
    <row r="403" spans="1:10" ht="36" customHeight="1">
      <c r="A403" s="278">
        <v>387</v>
      </c>
      <c r="B403" s="78" t="s">
        <v>242</v>
      </c>
      <c r="C403" s="75" t="s">
        <v>160</v>
      </c>
      <c r="D403" s="70"/>
      <c r="E403" s="70"/>
      <c r="F403" s="70"/>
      <c r="G403" s="71">
        <f>G404</f>
        <v>4972.67</v>
      </c>
      <c r="H403" s="71">
        <f t="shared" ref="H403:I406" si="166">H404</f>
        <v>4883.5200000000004</v>
      </c>
      <c r="I403" s="71">
        <f t="shared" si="166"/>
        <v>4883.5200000000004</v>
      </c>
    </row>
    <row r="404" spans="1:10">
      <c r="A404" s="278">
        <v>388</v>
      </c>
      <c r="B404" s="120" t="s">
        <v>101</v>
      </c>
      <c r="C404" s="48" t="s">
        <v>160</v>
      </c>
      <c r="D404" s="55" t="s">
        <v>102</v>
      </c>
      <c r="E404" s="59"/>
      <c r="F404" s="59"/>
      <c r="G404" s="39">
        <f>G405</f>
        <v>4972.67</v>
      </c>
      <c r="H404" s="39">
        <f t="shared" si="166"/>
        <v>4883.5200000000004</v>
      </c>
      <c r="I404" s="39">
        <f t="shared" si="166"/>
        <v>4883.5200000000004</v>
      </c>
    </row>
    <row r="405" spans="1:10" ht="30">
      <c r="A405" s="278">
        <v>389</v>
      </c>
      <c r="B405" s="102" t="s">
        <v>77</v>
      </c>
      <c r="C405" s="48" t="s">
        <v>160</v>
      </c>
      <c r="D405" s="55" t="s">
        <v>103</v>
      </c>
      <c r="E405" s="59"/>
      <c r="F405" s="59"/>
      <c r="G405" s="39">
        <f>G406</f>
        <v>4972.67</v>
      </c>
      <c r="H405" s="39">
        <f t="shared" si="166"/>
        <v>4883.5200000000004</v>
      </c>
      <c r="I405" s="39">
        <f t="shared" si="166"/>
        <v>4883.5200000000004</v>
      </c>
    </row>
    <row r="406" spans="1:10" ht="30">
      <c r="A406" s="278">
        <v>390</v>
      </c>
      <c r="B406" s="115" t="s">
        <v>153</v>
      </c>
      <c r="C406" s="48" t="s">
        <v>160</v>
      </c>
      <c r="D406" s="55" t="s">
        <v>103</v>
      </c>
      <c r="E406" s="55" t="s">
        <v>196</v>
      </c>
      <c r="F406" s="59"/>
      <c r="G406" s="39">
        <f>G407</f>
        <v>4972.67</v>
      </c>
      <c r="H406" s="39">
        <f t="shared" si="166"/>
        <v>4883.5200000000004</v>
      </c>
      <c r="I406" s="39">
        <f t="shared" si="166"/>
        <v>4883.5200000000004</v>
      </c>
    </row>
    <row r="407" spans="1:10" ht="30">
      <c r="A407" s="278">
        <v>391</v>
      </c>
      <c r="B407" s="121" t="s">
        <v>317</v>
      </c>
      <c r="C407" s="48" t="s">
        <v>160</v>
      </c>
      <c r="D407" s="55" t="s">
        <v>103</v>
      </c>
      <c r="E407" s="55" t="s">
        <v>197</v>
      </c>
      <c r="F407" s="59"/>
      <c r="G407" s="39">
        <f>G408+G421+G418+G415</f>
        <v>4972.67</v>
      </c>
      <c r="H407" s="39">
        <f t="shared" ref="H407:I407" si="167">H408+H421+H418+H415</f>
        <v>4883.5200000000004</v>
      </c>
      <c r="I407" s="39">
        <f t="shared" si="167"/>
        <v>4883.5200000000004</v>
      </c>
    </row>
    <row r="408" spans="1:10" ht="60">
      <c r="A408" s="278">
        <v>392</v>
      </c>
      <c r="B408" s="115" t="s">
        <v>362</v>
      </c>
      <c r="C408" s="48" t="s">
        <v>160</v>
      </c>
      <c r="D408" s="55" t="s">
        <v>103</v>
      </c>
      <c r="E408" s="55" t="s">
        <v>308</v>
      </c>
      <c r="F408" s="59"/>
      <c r="G408" s="39">
        <f>G409+G411+G413</f>
        <v>4744.0200000000004</v>
      </c>
      <c r="H408" s="39">
        <f t="shared" ref="H408:I408" si="168">H409+H411+H413</f>
        <v>4874.0200000000004</v>
      </c>
      <c r="I408" s="39">
        <f t="shared" si="168"/>
        <v>4874.0200000000004</v>
      </c>
    </row>
    <row r="409" spans="1:10" ht="45">
      <c r="A409" s="278">
        <v>393</v>
      </c>
      <c r="B409" s="102" t="s">
        <v>17</v>
      </c>
      <c r="C409" s="48" t="s">
        <v>160</v>
      </c>
      <c r="D409" s="55" t="s">
        <v>103</v>
      </c>
      <c r="E409" s="55" t="s">
        <v>308</v>
      </c>
      <c r="F409" s="59">
        <v>100</v>
      </c>
      <c r="G409" s="39">
        <f>G410</f>
        <v>4096.05</v>
      </c>
      <c r="H409" s="39">
        <f t="shared" ref="H409:I409" si="169">H410</f>
        <v>4126.05</v>
      </c>
      <c r="I409" s="39">
        <f t="shared" si="169"/>
        <v>4126.05</v>
      </c>
    </row>
    <row r="410" spans="1:10">
      <c r="A410" s="278">
        <v>394</v>
      </c>
      <c r="B410" s="102" t="s">
        <v>66</v>
      </c>
      <c r="C410" s="48" t="s">
        <v>160</v>
      </c>
      <c r="D410" s="55" t="s">
        <v>103</v>
      </c>
      <c r="E410" s="55" t="s">
        <v>308</v>
      </c>
      <c r="F410" s="59">
        <v>110</v>
      </c>
      <c r="G410" s="39">
        <f>4126.05-30</f>
        <v>4096.05</v>
      </c>
      <c r="H410" s="39">
        <v>4126.05</v>
      </c>
      <c r="I410" s="39">
        <v>4126.05</v>
      </c>
      <c r="J410" s="240">
        <v>-30</v>
      </c>
    </row>
    <row r="411" spans="1:10">
      <c r="A411" s="278">
        <v>395</v>
      </c>
      <c r="B411" s="102" t="s">
        <v>22</v>
      </c>
      <c r="C411" s="48" t="s">
        <v>160</v>
      </c>
      <c r="D411" s="55" t="s">
        <v>103</v>
      </c>
      <c r="E411" s="55" t="s">
        <v>308</v>
      </c>
      <c r="F411" s="59">
        <v>200</v>
      </c>
      <c r="G411" s="39">
        <f>G412</f>
        <v>647.47</v>
      </c>
      <c r="H411" s="39">
        <f t="shared" ref="H411:I411" si="170">H412</f>
        <v>747.47</v>
      </c>
      <c r="I411" s="39">
        <f t="shared" si="170"/>
        <v>747.47</v>
      </c>
    </row>
    <row r="412" spans="1:10">
      <c r="A412" s="278">
        <v>396</v>
      </c>
      <c r="B412" s="102" t="s">
        <v>23</v>
      </c>
      <c r="C412" s="48" t="s">
        <v>160</v>
      </c>
      <c r="D412" s="55" t="s">
        <v>103</v>
      </c>
      <c r="E412" s="55" t="s">
        <v>308</v>
      </c>
      <c r="F412" s="59">
        <v>240</v>
      </c>
      <c r="G412" s="39">
        <f>747.97-0.5-100</f>
        <v>647.47</v>
      </c>
      <c r="H412" s="39">
        <v>747.47</v>
      </c>
      <c r="I412" s="39">
        <v>747.47</v>
      </c>
      <c r="J412" s="240">
        <v>-100</v>
      </c>
    </row>
    <row r="413" spans="1:10">
      <c r="A413" s="278">
        <v>397</v>
      </c>
      <c r="B413" s="102" t="s">
        <v>34</v>
      </c>
      <c r="C413" s="48" t="s">
        <v>160</v>
      </c>
      <c r="D413" s="55" t="s">
        <v>103</v>
      </c>
      <c r="E413" s="55" t="s">
        <v>308</v>
      </c>
      <c r="F413" s="59">
        <v>800</v>
      </c>
      <c r="G413" s="39">
        <f>G414</f>
        <v>0.5</v>
      </c>
      <c r="H413" s="39">
        <f t="shared" ref="H413:I413" si="171">H414</f>
        <v>0.5</v>
      </c>
      <c r="I413" s="39">
        <f t="shared" si="171"/>
        <v>0.5</v>
      </c>
    </row>
    <row r="414" spans="1:10">
      <c r="A414" s="278">
        <v>398</v>
      </c>
      <c r="B414" s="102" t="s">
        <v>83</v>
      </c>
      <c r="C414" s="48" t="s">
        <v>160</v>
      </c>
      <c r="D414" s="55" t="s">
        <v>103</v>
      </c>
      <c r="E414" s="55" t="s">
        <v>308</v>
      </c>
      <c r="F414" s="59">
        <v>850</v>
      </c>
      <c r="G414" s="39">
        <v>0.5</v>
      </c>
      <c r="H414" s="39">
        <v>0.5</v>
      </c>
      <c r="I414" s="39">
        <v>0.5</v>
      </c>
    </row>
    <row r="415" spans="1:10" ht="30">
      <c r="A415" s="278">
        <v>399</v>
      </c>
      <c r="B415" s="190" t="s">
        <v>519</v>
      </c>
      <c r="C415" s="48" t="s">
        <v>160</v>
      </c>
      <c r="D415" s="55" t="s">
        <v>103</v>
      </c>
      <c r="E415" s="55" t="s">
        <v>522</v>
      </c>
      <c r="F415" s="134"/>
      <c r="G415" s="39">
        <f>G416</f>
        <v>147.44</v>
      </c>
      <c r="H415" s="39">
        <f t="shared" ref="H415:I416" si="172">H416</f>
        <v>0</v>
      </c>
      <c r="I415" s="39">
        <f t="shared" si="172"/>
        <v>0</v>
      </c>
    </row>
    <row r="416" spans="1:10" ht="45">
      <c r="A416" s="278">
        <v>400</v>
      </c>
      <c r="B416" s="190" t="s">
        <v>17</v>
      </c>
      <c r="C416" s="48" t="s">
        <v>160</v>
      </c>
      <c r="D416" s="55" t="s">
        <v>103</v>
      </c>
      <c r="E416" s="55" t="s">
        <v>522</v>
      </c>
      <c r="F416" s="134">
        <v>100</v>
      </c>
      <c r="G416" s="39">
        <f>G417</f>
        <v>147.44</v>
      </c>
      <c r="H416" s="39">
        <f t="shared" si="172"/>
        <v>0</v>
      </c>
      <c r="I416" s="39">
        <f t="shared" si="172"/>
        <v>0</v>
      </c>
    </row>
    <row r="417" spans="1:12">
      <c r="A417" s="278">
        <v>401</v>
      </c>
      <c r="B417" s="190" t="s">
        <v>66</v>
      </c>
      <c r="C417" s="48" t="s">
        <v>160</v>
      </c>
      <c r="D417" s="55" t="s">
        <v>103</v>
      </c>
      <c r="E417" s="55" t="s">
        <v>522</v>
      </c>
      <c r="F417" s="134">
        <v>110</v>
      </c>
      <c r="G417" s="39">
        <v>147.44</v>
      </c>
      <c r="H417" s="39">
        <v>0</v>
      </c>
      <c r="I417" s="39">
        <v>0</v>
      </c>
      <c r="J417" s="201">
        <v>147.44</v>
      </c>
    </row>
    <row r="418" spans="1:12" ht="45">
      <c r="A418" s="278">
        <v>402</v>
      </c>
      <c r="B418" s="101" t="s">
        <v>364</v>
      </c>
      <c r="C418" s="48" t="s">
        <v>160</v>
      </c>
      <c r="D418" s="55" t="s">
        <v>103</v>
      </c>
      <c r="E418" s="55" t="s">
        <v>367</v>
      </c>
      <c r="F418" s="109"/>
      <c r="G418" s="39">
        <f>G419</f>
        <v>71.709999999999994</v>
      </c>
      <c r="H418" s="39">
        <f t="shared" ref="H418:I419" si="173">H419</f>
        <v>0</v>
      </c>
      <c r="I418" s="39">
        <f t="shared" si="173"/>
        <v>0</v>
      </c>
    </row>
    <row r="419" spans="1:12" ht="45">
      <c r="A419" s="278">
        <v>403</v>
      </c>
      <c r="B419" s="102" t="s">
        <v>17</v>
      </c>
      <c r="C419" s="48" t="s">
        <v>160</v>
      </c>
      <c r="D419" s="55" t="s">
        <v>103</v>
      </c>
      <c r="E419" s="55" t="s">
        <v>367</v>
      </c>
      <c r="F419" s="109">
        <v>100</v>
      </c>
      <c r="G419" s="39">
        <f>G420</f>
        <v>71.709999999999994</v>
      </c>
      <c r="H419" s="39">
        <f t="shared" si="173"/>
        <v>0</v>
      </c>
      <c r="I419" s="39">
        <f t="shared" si="173"/>
        <v>0</v>
      </c>
    </row>
    <row r="420" spans="1:12">
      <c r="A420" s="278">
        <v>404</v>
      </c>
      <c r="B420" s="102" t="s">
        <v>66</v>
      </c>
      <c r="C420" s="48" t="s">
        <v>160</v>
      </c>
      <c r="D420" s="55" t="s">
        <v>103</v>
      </c>
      <c r="E420" s="55" t="s">
        <v>367</v>
      </c>
      <c r="F420" s="109">
        <v>110</v>
      </c>
      <c r="G420" s="39">
        <v>71.709999999999994</v>
      </c>
      <c r="H420" s="39">
        <v>0</v>
      </c>
      <c r="I420" s="39">
        <v>0</v>
      </c>
    </row>
    <row r="421" spans="1:12" s="98" customFormat="1">
      <c r="A421" s="278">
        <v>405</v>
      </c>
      <c r="B421" s="182" t="s">
        <v>309</v>
      </c>
      <c r="C421" s="179" t="s">
        <v>160</v>
      </c>
      <c r="D421" s="179" t="s">
        <v>103</v>
      </c>
      <c r="E421" s="179" t="s">
        <v>310</v>
      </c>
      <c r="F421" s="176"/>
      <c r="G421" s="39">
        <f>G422</f>
        <v>9.5</v>
      </c>
      <c r="H421" s="39">
        <f t="shared" ref="H421:I422" si="174">H422</f>
        <v>9.5</v>
      </c>
      <c r="I421" s="39">
        <f t="shared" si="174"/>
        <v>9.5</v>
      </c>
      <c r="J421" s="110"/>
      <c r="K421" s="110"/>
      <c r="L421" s="110"/>
    </row>
    <row r="422" spans="1:12" s="98" customFormat="1">
      <c r="A422" s="278">
        <v>406</v>
      </c>
      <c r="B422" s="181" t="s">
        <v>22</v>
      </c>
      <c r="C422" s="179" t="s">
        <v>160</v>
      </c>
      <c r="D422" s="179" t="s">
        <v>103</v>
      </c>
      <c r="E422" s="179" t="s">
        <v>310</v>
      </c>
      <c r="F422" s="176">
        <v>200</v>
      </c>
      <c r="G422" s="39">
        <f>G423</f>
        <v>9.5</v>
      </c>
      <c r="H422" s="39">
        <f t="shared" si="174"/>
        <v>9.5</v>
      </c>
      <c r="I422" s="39">
        <f t="shared" si="174"/>
        <v>9.5</v>
      </c>
      <c r="J422" s="110"/>
      <c r="K422" s="110"/>
      <c r="L422" s="110"/>
    </row>
    <row r="423" spans="1:12" s="98" customFormat="1">
      <c r="A423" s="278">
        <v>407</v>
      </c>
      <c r="B423" s="181" t="s">
        <v>23</v>
      </c>
      <c r="C423" s="179" t="s">
        <v>160</v>
      </c>
      <c r="D423" s="179" t="s">
        <v>103</v>
      </c>
      <c r="E423" s="179" t="s">
        <v>310</v>
      </c>
      <c r="F423" s="176">
        <v>240</v>
      </c>
      <c r="G423" s="39">
        <f>0.5+9</f>
        <v>9.5</v>
      </c>
      <c r="H423" s="39">
        <f>0.5+9</f>
        <v>9.5</v>
      </c>
      <c r="I423" s="39">
        <f>0.5+9</f>
        <v>9.5</v>
      </c>
      <c r="J423" s="110"/>
      <c r="K423" s="110"/>
      <c r="L423" s="110"/>
    </row>
    <row r="424" spans="1:12" ht="28.5">
      <c r="A424" s="278">
        <v>408</v>
      </c>
      <c r="B424" s="78" t="s">
        <v>243</v>
      </c>
      <c r="C424" s="75" t="s">
        <v>160</v>
      </c>
      <c r="D424" s="72"/>
      <c r="E424" s="72"/>
      <c r="F424" s="72"/>
      <c r="G424" s="79">
        <f>G425</f>
        <v>2296.0000000000005</v>
      </c>
      <c r="H424" s="79">
        <f t="shared" ref="H424:I424" si="175">H425</f>
        <v>2469.33</v>
      </c>
      <c r="I424" s="79">
        <f t="shared" si="175"/>
        <v>2469.33</v>
      </c>
    </row>
    <row r="425" spans="1:12">
      <c r="A425" s="278">
        <v>409</v>
      </c>
      <c r="B425" s="117" t="s">
        <v>88</v>
      </c>
      <c r="C425" s="48" t="s">
        <v>160</v>
      </c>
      <c r="D425" s="55" t="s">
        <v>89</v>
      </c>
      <c r="E425" s="59"/>
      <c r="F425" s="59"/>
      <c r="G425" s="39">
        <f>G426</f>
        <v>2296.0000000000005</v>
      </c>
      <c r="H425" s="39">
        <f t="shared" ref="H425:I425" si="176">H426</f>
        <v>2469.33</v>
      </c>
      <c r="I425" s="39">
        <f t="shared" si="176"/>
        <v>2469.33</v>
      </c>
    </row>
    <row r="426" spans="1:12">
      <c r="A426" s="278">
        <v>410</v>
      </c>
      <c r="B426" s="115" t="s">
        <v>63</v>
      </c>
      <c r="C426" s="48" t="s">
        <v>160</v>
      </c>
      <c r="D426" s="55" t="s">
        <v>97</v>
      </c>
      <c r="E426" s="59"/>
      <c r="F426" s="59"/>
      <c r="G426" s="39">
        <f>G427</f>
        <v>2296.0000000000005</v>
      </c>
      <c r="H426" s="39">
        <f t="shared" ref="H426:I426" si="177">H427</f>
        <v>2469.33</v>
      </c>
      <c r="I426" s="39">
        <f t="shared" si="177"/>
        <v>2469.33</v>
      </c>
    </row>
    <row r="427" spans="1:12">
      <c r="A427" s="278">
        <v>411</v>
      </c>
      <c r="B427" s="115" t="s">
        <v>360</v>
      </c>
      <c r="C427" s="48" t="s">
        <v>160</v>
      </c>
      <c r="D427" s="55" t="s">
        <v>97</v>
      </c>
      <c r="E427" s="55" t="s">
        <v>198</v>
      </c>
      <c r="F427" s="59"/>
      <c r="G427" s="39">
        <f>G428</f>
        <v>2296.0000000000005</v>
      </c>
      <c r="H427" s="39">
        <f t="shared" ref="H427:I427" si="178">H428</f>
        <v>2469.33</v>
      </c>
      <c r="I427" s="39">
        <f t="shared" si="178"/>
        <v>2469.33</v>
      </c>
    </row>
    <row r="428" spans="1:12">
      <c r="A428" s="278">
        <v>412</v>
      </c>
      <c r="B428" s="115" t="s">
        <v>64</v>
      </c>
      <c r="C428" s="48" t="s">
        <v>160</v>
      </c>
      <c r="D428" s="55" t="s">
        <v>97</v>
      </c>
      <c r="E428" s="55" t="s">
        <v>199</v>
      </c>
      <c r="F428" s="59"/>
      <c r="G428" s="39">
        <f>G429+G442+G439+G436</f>
        <v>2296.0000000000005</v>
      </c>
      <c r="H428" s="39">
        <f t="shared" ref="H428:I428" si="179">H429+H442+H439+H436</f>
        <v>2469.33</v>
      </c>
      <c r="I428" s="39">
        <f t="shared" si="179"/>
        <v>2469.33</v>
      </c>
    </row>
    <row r="429" spans="1:12" ht="45">
      <c r="A429" s="278">
        <v>413</v>
      </c>
      <c r="B429" s="115" t="s">
        <v>361</v>
      </c>
      <c r="C429" s="48" t="s">
        <v>160</v>
      </c>
      <c r="D429" s="55" t="s">
        <v>97</v>
      </c>
      <c r="E429" s="55" t="s">
        <v>200</v>
      </c>
      <c r="F429" s="59"/>
      <c r="G429" s="39">
        <f>G430+G432+G434</f>
        <v>1934.63</v>
      </c>
      <c r="H429" s="39">
        <f t="shared" ref="H429:I429" si="180">H430+H432+H434</f>
        <v>2194.63</v>
      </c>
      <c r="I429" s="39">
        <f t="shared" si="180"/>
        <v>2194.63</v>
      </c>
    </row>
    <row r="430" spans="1:12" ht="45">
      <c r="A430" s="278">
        <v>414</v>
      </c>
      <c r="B430" s="102" t="s">
        <v>17</v>
      </c>
      <c r="C430" s="48" t="s">
        <v>160</v>
      </c>
      <c r="D430" s="55" t="s">
        <v>97</v>
      </c>
      <c r="E430" s="55" t="s">
        <v>200</v>
      </c>
      <c r="F430" s="59">
        <v>100</v>
      </c>
      <c r="G430" s="39">
        <f>G431</f>
        <v>1170.1300000000001</v>
      </c>
      <c r="H430" s="39">
        <f t="shared" ref="H430:I430" si="181">H431</f>
        <v>1400.13</v>
      </c>
      <c r="I430" s="39">
        <f t="shared" si="181"/>
        <v>1400.13</v>
      </c>
    </row>
    <row r="431" spans="1:12">
      <c r="A431" s="278">
        <v>415</v>
      </c>
      <c r="B431" s="102" t="s">
        <v>66</v>
      </c>
      <c r="C431" s="48" t="s">
        <v>160</v>
      </c>
      <c r="D431" s="55" t="s">
        <v>97</v>
      </c>
      <c r="E431" s="55" t="s">
        <v>200</v>
      </c>
      <c r="F431" s="59">
        <v>110</v>
      </c>
      <c r="G431" s="39">
        <f>1400.13-70-160</f>
        <v>1170.1300000000001</v>
      </c>
      <c r="H431" s="39">
        <v>1400.13</v>
      </c>
      <c r="I431" s="39">
        <v>1400.13</v>
      </c>
      <c r="J431" s="240">
        <v>-230</v>
      </c>
    </row>
    <row r="432" spans="1:12">
      <c r="A432" s="278">
        <v>416</v>
      </c>
      <c r="B432" s="102" t="s">
        <v>22</v>
      </c>
      <c r="C432" s="48" t="s">
        <v>160</v>
      </c>
      <c r="D432" s="55" t="s">
        <v>97</v>
      </c>
      <c r="E432" s="55" t="s">
        <v>200</v>
      </c>
      <c r="F432" s="59">
        <v>200</v>
      </c>
      <c r="G432" s="39">
        <f>G433</f>
        <v>764</v>
      </c>
      <c r="H432" s="39">
        <f t="shared" ref="H432:I432" si="182">H433</f>
        <v>794</v>
      </c>
      <c r="I432" s="39">
        <f t="shared" si="182"/>
        <v>794</v>
      </c>
    </row>
    <row r="433" spans="1:12">
      <c r="A433" s="278">
        <v>417</v>
      </c>
      <c r="B433" s="102" t="s">
        <v>23</v>
      </c>
      <c r="C433" s="48" t="s">
        <v>160</v>
      </c>
      <c r="D433" s="55" t="s">
        <v>97</v>
      </c>
      <c r="E433" s="55" t="s">
        <v>200</v>
      </c>
      <c r="F433" s="59">
        <v>240</v>
      </c>
      <c r="G433" s="39">
        <f>794.5-0.5-150+120</f>
        <v>764</v>
      </c>
      <c r="H433" s="39">
        <v>794</v>
      </c>
      <c r="I433" s="39">
        <v>794</v>
      </c>
      <c r="J433" s="240">
        <v>-150</v>
      </c>
      <c r="K433" s="240">
        <v>120</v>
      </c>
    </row>
    <row r="434" spans="1:12">
      <c r="A434" s="278">
        <v>418</v>
      </c>
      <c r="B434" s="102" t="s">
        <v>34</v>
      </c>
      <c r="C434" s="48" t="s">
        <v>160</v>
      </c>
      <c r="D434" s="55" t="s">
        <v>97</v>
      </c>
      <c r="E434" s="55" t="s">
        <v>200</v>
      </c>
      <c r="F434" s="59">
        <v>800</v>
      </c>
      <c r="G434" s="39">
        <f>G435</f>
        <v>0.5</v>
      </c>
      <c r="H434" s="39">
        <f t="shared" ref="H434:I434" si="183">H435</f>
        <v>0.5</v>
      </c>
      <c r="I434" s="39">
        <f t="shared" si="183"/>
        <v>0.5</v>
      </c>
    </row>
    <row r="435" spans="1:12">
      <c r="A435" s="278">
        <v>419</v>
      </c>
      <c r="B435" s="102" t="s">
        <v>83</v>
      </c>
      <c r="C435" s="48" t="s">
        <v>160</v>
      </c>
      <c r="D435" s="55" t="s">
        <v>97</v>
      </c>
      <c r="E435" s="55" t="s">
        <v>200</v>
      </c>
      <c r="F435" s="59">
        <v>850</v>
      </c>
      <c r="G435" s="39">
        <v>0.5</v>
      </c>
      <c r="H435" s="39">
        <v>0.5</v>
      </c>
      <c r="I435" s="39">
        <v>0.5</v>
      </c>
    </row>
    <row r="436" spans="1:12" ht="30">
      <c r="A436" s="278">
        <v>420</v>
      </c>
      <c r="B436" s="190" t="s">
        <v>519</v>
      </c>
      <c r="C436" s="48" t="s">
        <v>160</v>
      </c>
      <c r="D436" s="55" t="s">
        <v>97</v>
      </c>
      <c r="E436" s="55" t="s">
        <v>520</v>
      </c>
      <c r="F436" s="134"/>
      <c r="G436" s="39">
        <f>G437</f>
        <v>73.86</v>
      </c>
      <c r="H436" s="39">
        <f t="shared" ref="H436:I437" si="184">H437</f>
        <v>0</v>
      </c>
      <c r="I436" s="39">
        <f t="shared" si="184"/>
        <v>0</v>
      </c>
    </row>
    <row r="437" spans="1:12" ht="45">
      <c r="A437" s="278">
        <v>421</v>
      </c>
      <c r="B437" s="190" t="s">
        <v>17</v>
      </c>
      <c r="C437" s="48" t="s">
        <v>160</v>
      </c>
      <c r="D437" s="55" t="s">
        <v>97</v>
      </c>
      <c r="E437" s="55" t="s">
        <v>520</v>
      </c>
      <c r="F437" s="134">
        <v>100</v>
      </c>
      <c r="G437" s="39">
        <f>G438</f>
        <v>73.86</v>
      </c>
      <c r="H437" s="39">
        <f t="shared" si="184"/>
        <v>0</v>
      </c>
      <c r="I437" s="39">
        <f t="shared" si="184"/>
        <v>0</v>
      </c>
    </row>
    <row r="438" spans="1:12">
      <c r="A438" s="278">
        <v>422</v>
      </c>
      <c r="B438" s="190" t="s">
        <v>66</v>
      </c>
      <c r="C438" s="48" t="s">
        <v>160</v>
      </c>
      <c r="D438" s="55" t="s">
        <v>97</v>
      </c>
      <c r="E438" s="55" t="s">
        <v>520</v>
      </c>
      <c r="F438" s="134">
        <v>110</v>
      </c>
      <c r="G438" s="39">
        <v>73.86</v>
      </c>
      <c r="H438" s="39">
        <v>0</v>
      </c>
      <c r="I438" s="39">
        <v>0</v>
      </c>
      <c r="J438" s="201">
        <v>73.86</v>
      </c>
    </row>
    <row r="439" spans="1:12" ht="45">
      <c r="A439" s="278">
        <v>423</v>
      </c>
      <c r="B439" s="163" t="s">
        <v>364</v>
      </c>
      <c r="C439" s="48" t="s">
        <v>160</v>
      </c>
      <c r="D439" s="55" t="s">
        <v>97</v>
      </c>
      <c r="E439" s="55" t="s">
        <v>366</v>
      </c>
      <c r="F439" s="109"/>
      <c r="G439" s="39">
        <f>G440</f>
        <v>21.51</v>
      </c>
      <c r="H439" s="39">
        <f t="shared" ref="H439:I440" si="185">H440</f>
        <v>0</v>
      </c>
      <c r="I439" s="39">
        <f t="shared" si="185"/>
        <v>0</v>
      </c>
    </row>
    <row r="440" spans="1:12" ht="45">
      <c r="A440" s="278">
        <v>424</v>
      </c>
      <c r="B440" s="164" t="s">
        <v>17</v>
      </c>
      <c r="C440" s="48" t="s">
        <v>160</v>
      </c>
      <c r="D440" s="55" t="s">
        <v>97</v>
      </c>
      <c r="E440" s="55" t="s">
        <v>366</v>
      </c>
      <c r="F440" s="109">
        <v>100</v>
      </c>
      <c r="G440" s="39">
        <f>G441</f>
        <v>21.51</v>
      </c>
      <c r="H440" s="39">
        <f t="shared" si="185"/>
        <v>0</v>
      </c>
      <c r="I440" s="39">
        <f t="shared" si="185"/>
        <v>0</v>
      </c>
    </row>
    <row r="441" spans="1:12">
      <c r="A441" s="278">
        <v>425</v>
      </c>
      <c r="B441" s="102" t="s">
        <v>66</v>
      </c>
      <c r="C441" s="48" t="s">
        <v>160</v>
      </c>
      <c r="D441" s="55" t="s">
        <v>97</v>
      </c>
      <c r="E441" s="55" t="s">
        <v>366</v>
      </c>
      <c r="F441" s="109">
        <v>110</v>
      </c>
      <c r="G441" s="39">
        <v>21.51</v>
      </c>
      <c r="H441" s="39">
        <v>0</v>
      </c>
      <c r="I441" s="39">
        <v>0</v>
      </c>
    </row>
    <row r="442" spans="1:12" ht="45">
      <c r="A442" s="278">
        <v>426</v>
      </c>
      <c r="B442" s="122" t="s">
        <v>359</v>
      </c>
      <c r="C442" s="48" t="s">
        <v>160</v>
      </c>
      <c r="D442" s="55" t="s">
        <v>97</v>
      </c>
      <c r="E442" s="55" t="s">
        <v>201</v>
      </c>
      <c r="F442" s="59"/>
      <c r="G442" s="39">
        <f>G443+G445</f>
        <v>266</v>
      </c>
      <c r="H442" s="39">
        <f>H443+H445</f>
        <v>274.7</v>
      </c>
      <c r="I442" s="39">
        <f>I443+I445</f>
        <v>274.7</v>
      </c>
    </row>
    <row r="443" spans="1:12" ht="45">
      <c r="A443" s="278">
        <v>427</v>
      </c>
      <c r="B443" s="102" t="s">
        <v>17</v>
      </c>
      <c r="C443" s="48" t="s">
        <v>160</v>
      </c>
      <c r="D443" s="55" t="s">
        <v>97</v>
      </c>
      <c r="E443" s="55" t="s">
        <v>201</v>
      </c>
      <c r="F443" s="59">
        <v>100</v>
      </c>
      <c r="G443" s="39">
        <f>G444</f>
        <v>221.1</v>
      </c>
      <c r="H443" s="39">
        <f t="shared" ref="H443:I443" si="186">H444</f>
        <v>229.8</v>
      </c>
      <c r="I443" s="39">
        <f t="shared" si="186"/>
        <v>229.8</v>
      </c>
    </row>
    <row r="444" spans="1:12">
      <c r="A444" s="278">
        <v>428</v>
      </c>
      <c r="B444" s="102" t="s">
        <v>66</v>
      </c>
      <c r="C444" s="48" t="s">
        <v>160</v>
      </c>
      <c r="D444" s="55" t="s">
        <v>97</v>
      </c>
      <c r="E444" s="55" t="s">
        <v>201</v>
      </c>
      <c r="F444" s="59">
        <v>110</v>
      </c>
      <c r="G444" s="39">
        <f>208.9+12.2</f>
        <v>221.1</v>
      </c>
      <c r="H444" s="39">
        <f>208.9+20.9</f>
        <v>229.8</v>
      </c>
      <c r="I444" s="39">
        <f>208.9+20.9</f>
        <v>229.8</v>
      </c>
      <c r="J444" s="201">
        <v>12.2</v>
      </c>
      <c r="K444" s="201">
        <v>20.9</v>
      </c>
      <c r="L444" s="201">
        <v>20.9</v>
      </c>
    </row>
    <row r="445" spans="1:12">
      <c r="A445" s="278">
        <v>429</v>
      </c>
      <c r="B445" s="102" t="s">
        <v>22</v>
      </c>
      <c r="C445" s="48" t="s">
        <v>160</v>
      </c>
      <c r="D445" s="55" t="s">
        <v>97</v>
      </c>
      <c r="E445" s="55" t="s">
        <v>201</v>
      </c>
      <c r="F445" s="59">
        <v>200</v>
      </c>
      <c r="G445" s="39">
        <f>G446</f>
        <v>44.9</v>
      </c>
      <c r="H445" s="39">
        <f t="shared" ref="H445:I445" si="187">H446</f>
        <v>44.9</v>
      </c>
      <c r="I445" s="39">
        <f t="shared" si="187"/>
        <v>44.9</v>
      </c>
    </row>
    <row r="446" spans="1:12">
      <c r="A446" s="278">
        <v>430</v>
      </c>
      <c r="B446" s="102" t="s">
        <v>23</v>
      </c>
      <c r="C446" s="48" t="s">
        <v>160</v>
      </c>
      <c r="D446" s="55" t="s">
        <v>97</v>
      </c>
      <c r="E446" s="55" t="s">
        <v>201</v>
      </c>
      <c r="F446" s="59">
        <v>240</v>
      </c>
      <c r="G446" s="39">
        <v>44.9</v>
      </c>
      <c r="H446" s="39">
        <v>44.9</v>
      </c>
      <c r="I446" s="39">
        <v>44.9</v>
      </c>
    </row>
    <row r="447" spans="1:12" ht="36.75" customHeight="1">
      <c r="A447" s="278">
        <v>431</v>
      </c>
      <c r="B447" s="78" t="s">
        <v>244</v>
      </c>
      <c r="C447" s="75" t="s">
        <v>160</v>
      </c>
      <c r="D447" s="70"/>
      <c r="E447" s="70"/>
      <c r="F447" s="70"/>
      <c r="G447" s="71">
        <f>G448</f>
        <v>56274.33</v>
      </c>
      <c r="H447" s="71">
        <f t="shared" ref="H447:I450" si="188">H448</f>
        <v>54056.86</v>
      </c>
      <c r="I447" s="71">
        <f t="shared" si="188"/>
        <v>54056.86</v>
      </c>
    </row>
    <row r="448" spans="1:12">
      <c r="A448" s="278">
        <v>432</v>
      </c>
      <c r="B448" s="117" t="s">
        <v>88</v>
      </c>
      <c r="C448" s="48" t="s">
        <v>160</v>
      </c>
      <c r="D448" s="55" t="s">
        <v>89</v>
      </c>
      <c r="E448" s="59"/>
      <c r="F448" s="59"/>
      <c r="G448" s="39">
        <f>G449</f>
        <v>56274.33</v>
      </c>
      <c r="H448" s="39">
        <f t="shared" si="188"/>
        <v>54056.86</v>
      </c>
      <c r="I448" s="39">
        <f t="shared" si="188"/>
        <v>54056.86</v>
      </c>
    </row>
    <row r="449" spans="1:13">
      <c r="A449" s="278">
        <v>433</v>
      </c>
      <c r="B449" s="115" t="s">
        <v>37</v>
      </c>
      <c r="C449" s="48" t="s">
        <v>160</v>
      </c>
      <c r="D449" s="55" t="s">
        <v>97</v>
      </c>
      <c r="E449" s="59"/>
      <c r="F449" s="59"/>
      <c r="G449" s="39">
        <f>G450</f>
        <v>56274.33</v>
      </c>
      <c r="H449" s="39">
        <f t="shared" si="188"/>
        <v>54056.86</v>
      </c>
      <c r="I449" s="39">
        <f t="shared" si="188"/>
        <v>54056.86</v>
      </c>
    </row>
    <row r="450" spans="1:13">
      <c r="A450" s="278">
        <v>434</v>
      </c>
      <c r="B450" s="115" t="s">
        <v>293</v>
      </c>
      <c r="C450" s="48" t="s">
        <v>160</v>
      </c>
      <c r="D450" s="55" t="s">
        <v>97</v>
      </c>
      <c r="E450" s="55" t="s">
        <v>290</v>
      </c>
      <c r="F450" s="59"/>
      <c r="G450" s="39">
        <f>G451</f>
        <v>56274.33</v>
      </c>
      <c r="H450" s="39">
        <f t="shared" si="188"/>
        <v>54056.86</v>
      </c>
      <c r="I450" s="39">
        <f t="shared" si="188"/>
        <v>54056.86</v>
      </c>
    </row>
    <row r="451" spans="1:13">
      <c r="A451" s="278">
        <v>435</v>
      </c>
      <c r="B451" s="115" t="s">
        <v>292</v>
      </c>
      <c r="C451" s="48" t="s">
        <v>160</v>
      </c>
      <c r="D451" s="55" t="s">
        <v>97</v>
      </c>
      <c r="E451" s="55" t="s">
        <v>291</v>
      </c>
      <c r="F451" s="59"/>
      <c r="G451" s="39">
        <f>G452+G465+G462+G459</f>
        <v>56274.33</v>
      </c>
      <c r="H451" s="39">
        <f t="shared" ref="H451:I451" si="189">H452+H465+H462+H459</f>
        <v>54056.86</v>
      </c>
      <c r="I451" s="39">
        <f t="shared" si="189"/>
        <v>54056.86</v>
      </c>
    </row>
    <row r="452" spans="1:13">
      <c r="A452" s="278">
        <v>436</v>
      </c>
      <c r="B452" s="115" t="s">
        <v>322</v>
      </c>
      <c r="C452" s="48" t="s">
        <v>160</v>
      </c>
      <c r="D452" s="55" t="s">
        <v>97</v>
      </c>
      <c r="E452" s="55" t="s">
        <v>294</v>
      </c>
      <c r="F452" s="59"/>
      <c r="G452" s="39">
        <f>G453+G455+G457</f>
        <v>51799.960000000006</v>
      </c>
      <c r="H452" s="39">
        <f t="shared" ref="H452:I452" si="190">H453+H455+H457</f>
        <v>52745.020000000004</v>
      </c>
      <c r="I452" s="39">
        <f t="shared" si="190"/>
        <v>53716.75</v>
      </c>
    </row>
    <row r="453" spans="1:13" ht="45">
      <c r="A453" s="278">
        <v>437</v>
      </c>
      <c r="B453" s="102" t="s">
        <v>17</v>
      </c>
      <c r="C453" s="48" t="s">
        <v>160</v>
      </c>
      <c r="D453" s="55" t="s">
        <v>97</v>
      </c>
      <c r="E453" s="55" t="s">
        <v>294</v>
      </c>
      <c r="F453" s="59">
        <v>100</v>
      </c>
      <c r="G453" s="39">
        <f>G454</f>
        <v>49481.390000000007</v>
      </c>
      <c r="H453" s="39">
        <f t="shared" ref="H453:I453" si="191">H454</f>
        <v>49704.72</v>
      </c>
      <c r="I453" s="39">
        <f t="shared" si="191"/>
        <v>50642.16</v>
      </c>
    </row>
    <row r="454" spans="1:13">
      <c r="A454" s="278">
        <v>438</v>
      </c>
      <c r="B454" s="102" t="s">
        <v>66</v>
      </c>
      <c r="C454" s="48" t="s">
        <v>160</v>
      </c>
      <c r="D454" s="55" t="s">
        <v>97</v>
      </c>
      <c r="E454" s="55" t="s">
        <v>294</v>
      </c>
      <c r="F454" s="59">
        <v>110</v>
      </c>
      <c r="G454" s="39">
        <f>50642.16-937.44+414.87-163.2-190-285</f>
        <v>49481.390000000007</v>
      </c>
      <c r="H454" s="39">
        <f>50642.16-937.44</f>
        <v>49704.72</v>
      </c>
      <c r="I454" s="39">
        <f>50642.16</f>
        <v>50642.16</v>
      </c>
      <c r="J454" s="110">
        <v>414.87</v>
      </c>
      <c r="K454" s="240">
        <v>-163.19999999999999</v>
      </c>
      <c r="L454" s="240">
        <v>-190</v>
      </c>
      <c r="M454" s="240">
        <v>-285</v>
      </c>
    </row>
    <row r="455" spans="1:13">
      <c r="A455" s="278">
        <v>439</v>
      </c>
      <c r="B455" s="102" t="s">
        <v>22</v>
      </c>
      <c r="C455" s="48" t="s">
        <v>160</v>
      </c>
      <c r="D455" s="55" t="s">
        <v>97</v>
      </c>
      <c r="E455" s="55" t="s">
        <v>294</v>
      </c>
      <c r="F455" s="59">
        <v>200</v>
      </c>
      <c r="G455" s="39">
        <f>G456</f>
        <v>2305.5700000000002</v>
      </c>
      <c r="H455" s="39">
        <f t="shared" ref="H455:I455" si="192">H456</f>
        <v>3037.3</v>
      </c>
      <c r="I455" s="39">
        <f t="shared" si="192"/>
        <v>3071.59</v>
      </c>
    </row>
    <row r="456" spans="1:13">
      <c r="A456" s="278">
        <v>440</v>
      </c>
      <c r="B456" s="102" t="s">
        <v>23</v>
      </c>
      <c r="C456" s="48" t="s">
        <v>160</v>
      </c>
      <c r="D456" s="55" t="s">
        <v>97</v>
      </c>
      <c r="E456" s="55" t="s">
        <v>294</v>
      </c>
      <c r="F456" s="59">
        <v>240</v>
      </c>
      <c r="G456" s="39">
        <f>3074.59-3-34.29-424.87-6.86-300</f>
        <v>2305.5700000000002</v>
      </c>
      <c r="H456" s="39">
        <f>3071.59-34.29</f>
        <v>3037.3</v>
      </c>
      <c r="I456" s="39">
        <f>3071.59</f>
        <v>3071.59</v>
      </c>
      <c r="J456" s="110">
        <v>-424.87</v>
      </c>
      <c r="K456" s="240">
        <v>-6.86</v>
      </c>
      <c r="L456" s="240">
        <v>-300</v>
      </c>
      <c r="M456" s="241"/>
    </row>
    <row r="457" spans="1:13">
      <c r="A457" s="278">
        <v>441</v>
      </c>
      <c r="B457" s="102" t="s">
        <v>34</v>
      </c>
      <c r="C457" s="48" t="s">
        <v>160</v>
      </c>
      <c r="D457" s="55" t="s">
        <v>97</v>
      </c>
      <c r="E457" s="55" t="s">
        <v>294</v>
      </c>
      <c r="F457" s="59">
        <v>800</v>
      </c>
      <c r="G457" s="39">
        <f>G458</f>
        <v>13</v>
      </c>
      <c r="H457" s="39">
        <f t="shared" ref="H457:I457" si="193">H458</f>
        <v>3</v>
      </c>
      <c r="I457" s="39">
        <f t="shared" si="193"/>
        <v>3</v>
      </c>
    </row>
    <row r="458" spans="1:13">
      <c r="A458" s="278">
        <v>442</v>
      </c>
      <c r="B458" s="102" t="s">
        <v>83</v>
      </c>
      <c r="C458" s="48" t="s">
        <v>160</v>
      </c>
      <c r="D458" s="55" t="s">
        <v>97</v>
      </c>
      <c r="E458" s="55" t="s">
        <v>294</v>
      </c>
      <c r="F458" s="59">
        <v>850</v>
      </c>
      <c r="G458" s="39">
        <f>3+10</f>
        <v>13</v>
      </c>
      <c r="H458" s="39">
        <v>3</v>
      </c>
      <c r="I458" s="39">
        <v>3</v>
      </c>
      <c r="J458" s="110">
        <v>10</v>
      </c>
    </row>
    <row r="459" spans="1:13" ht="30">
      <c r="A459" s="278">
        <v>443</v>
      </c>
      <c r="B459" s="190" t="s">
        <v>519</v>
      </c>
      <c r="C459" s="48" t="s">
        <v>160</v>
      </c>
      <c r="D459" s="55" t="s">
        <v>97</v>
      </c>
      <c r="E459" s="55" t="s">
        <v>521</v>
      </c>
      <c r="F459" s="134"/>
      <c r="G459" s="39">
        <f>G460</f>
        <v>1692.39</v>
      </c>
      <c r="H459" s="39">
        <f t="shared" ref="H459:I460" si="194">H460</f>
        <v>0</v>
      </c>
      <c r="I459" s="39">
        <f t="shared" si="194"/>
        <v>0</v>
      </c>
    </row>
    <row r="460" spans="1:13" ht="45">
      <c r="A460" s="278">
        <v>444</v>
      </c>
      <c r="B460" s="190" t="s">
        <v>17</v>
      </c>
      <c r="C460" s="48" t="s">
        <v>160</v>
      </c>
      <c r="D460" s="55" t="s">
        <v>97</v>
      </c>
      <c r="E460" s="55" t="s">
        <v>521</v>
      </c>
      <c r="F460" s="134">
        <v>100</v>
      </c>
      <c r="G460" s="39">
        <f>G461</f>
        <v>1692.39</v>
      </c>
      <c r="H460" s="39">
        <f t="shared" si="194"/>
        <v>0</v>
      </c>
      <c r="I460" s="39">
        <f t="shared" si="194"/>
        <v>0</v>
      </c>
    </row>
    <row r="461" spans="1:13">
      <c r="A461" s="278">
        <v>445</v>
      </c>
      <c r="B461" s="190" t="s">
        <v>66</v>
      </c>
      <c r="C461" s="48" t="s">
        <v>160</v>
      </c>
      <c r="D461" s="55" t="s">
        <v>97</v>
      </c>
      <c r="E461" s="55" t="s">
        <v>521</v>
      </c>
      <c r="F461" s="134">
        <v>110</v>
      </c>
      <c r="G461" s="39">
        <v>1692.39</v>
      </c>
      <c r="H461" s="39">
        <v>0</v>
      </c>
      <c r="I461" s="39">
        <v>0</v>
      </c>
      <c r="J461" s="201">
        <v>1692.39</v>
      </c>
    </row>
    <row r="462" spans="1:13" ht="45">
      <c r="A462" s="278">
        <v>446</v>
      </c>
      <c r="B462" s="101" t="s">
        <v>364</v>
      </c>
      <c r="C462" s="48" t="s">
        <v>160</v>
      </c>
      <c r="D462" s="55" t="s">
        <v>97</v>
      </c>
      <c r="E462" s="55" t="s">
        <v>365</v>
      </c>
      <c r="F462" s="109"/>
      <c r="G462" s="39">
        <f>G463</f>
        <v>1470.14</v>
      </c>
      <c r="H462" s="39">
        <f t="shared" ref="H462:I463" si="195">H463</f>
        <v>0</v>
      </c>
      <c r="I462" s="39">
        <f t="shared" si="195"/>
        <v>0</v>
      </c>
    </row>
    <row r="463" spans="1:13" ht="45">
      <c r="A463" s="278">
        <v>447</v>
      </c>
      <c r="B463" s="102" t="s">
        <v>17</v>
      </c>
      <c r="C463" s="48" t="s">
        <v>160</v>
      </c>
      <c r="D463" s="55" t="s">
        <v>97</v>
      </c>
      <c r="E463" s="55" t="s">
        <v>365</v>
      </c>
      <c r="F463" s="109">
        <v>100</v>
      </c>
      <c r="G463" s="39">
        <f>G464</f>
        <v>1470.14</v>
      </c>
      <c r="H463" s="39">
        <f t="shared" si="195"/>
        <v>0</v>
      </c>
      <c r="I463" s="39">
        <f t="shared" si="195"/>
        <v>0</v>
      </c>
    </row>
    <row r="464" spans="1:13">
      <c r="A464" s="278">
        <v>448</v>
      </c>
      <c r="B464" s="102" t="s">
        <v>66</v>
      </c>
      <c r="C464" s="48" t="s">
        <v>160</v>
      </c>
      <c r="D464" s="55" t="s">
        <v>97</v>
      </c>
      <c r="E464" s="55" t="s">
        <v>365</v>
      </c>
      <c r="F464" s="109">
        <v>110</v>
      </c>
      <c r="G464" s="39">
        <v>1470.14</v>
      </c>
      <c r="H464" s="39">
        <v>0</v>
      </c>
      <c r="I464" s="39">
        <v>0</v>
      </c>
    </row>
    <row r="465" spans="1:12" ht="30">
      <c r="A465" s="278">
        <v>449</v>
      </c>
      <c r="B465" s="101" t="s">
        <v>357</v>
      </c>
      <c r="C465" s="48" t="s">
        <v>160</v>
      </c>
      <c r="D465" s="55" t="s">
        <v>97</v>
      </c>
      <c r="E465" s="55" t="s">
        <v>358</v>
      </c>
      <c r="F465" s="108"/>
      <c r="G465" s="39">
        <f>G466+G468</f>
        <v>1311.84</v>
      </c>
      <c r="H465" s="39">
        <f t="shared" ref="H465:I465" si="196">H466+H468</f>
        <v>1311.84</v>
      </c>
      <c r="I465" s="39">
        <f t="shared" si="196"/>
        <v>340.11</v>
      </c>
    </row>
    <row r="466" spans="1:12" ht="45">
      <c r="A466" s="278">
        <v>450</v>
      </c>
      <c r="B466" s="102" t="s">
        <v>17</v>
      </c>
      <c r="C466" s="48" t="s">
        <v>160</v>
      </c>
      <c r="D466" s="55" t="s">
        <v>97</v>
      </c>
      <c r="E466" s="55" t="s">
        <v>358</v>
      </c>
      <c r="F466" s="108">
        <v>100</v>
      </c>
      <c r="G466" s="39">
        <f>G467</f>
        <v>1263.83</v>
      </c>
      <c r="H466" s="39">
        <f t="shared" ref="H466:I466" si="197">H467</f>
        <v>1263.83</v>
      </c>
      <c r="I466" s="39">
        <f t="shared" si="197"/>
        <v>326.39</v>
      </c>
    </row>
    <row r="467" spans="1:12">
      <c r="A467" s="278">
        <v>451</v>
      </c>
      <c r="B467" s="102" t="s">
        <v>66</v>
      </c>
      <c r="C467" s="48" t="s">
        <v>160</v>
      </c>
      <c r="D467" s="55" t="s">
        <v>97</v>
      </c>
      <c r="E467" s="55" t="s">
        <v>358</v>
      </c>
      <c r="F467" s="108">
        <v>110</v>
      </c>
      <c r="G467" s="39">
        <f>937.44+326.39</f>
        <v>1263.83</v>
      </c>
      <c r="H467" s="39">
        <f>937.44+326.39</f>
        <v>1263.83</v>
      </c>
      <c r="I467" s="39">
        <v>326.39</v>
      </c>
      <c r="J467" s="240">
        <v>326.39</v>
      </c>
      <c r="K467" s="240">
        <v>326.39</v>
      </c>
      <c r="L467" s="240">
        <v>326.39</v>
      </c>
    </row>
    <row r="468" spans="1:12">
      <c r="A468" s="278">
        <v>452</v>
      </c>
      <c r="B468" s="102" t="s">
        <v>22</v>
      </c>
      <c r="C468" s="48" t="s">
        <v>160</v>
      </c>
      <c r="D468" s="55" t="s">
        <v>97</v>
      </c>
      <c r="E468" s="55" t="s">
        <v>358</v>
      </c>
      <c r="F468" s="108">
        <v>200</v>
      </c>
      <c r="G468" s="39">
        <f>G469</f>
        <v>48.01</v>
      </c>
      <c r="H468" s="39">
        <f t="shared" ref="H468:I468" si="198">H469</f>
        <v>48.01</v>
      </c>
      <c r="I468" s="39">
        <f t="shared" si="198"/>
        <v>13.72</v>
      </c>
    </row>
    <row r="469" spans="1:12">
      <c r="A469" s="278">
        <v>453</v>
      </c>
      <c r="B469" s="102" t="s">
        <v>23</v>
      </c>
      <c r="C469" s="48" t="s">
        <v>160</v>
      </c>
      <c r="D469" s="55" t="s">
        <v>97</v>
      </c>
      <c r="E469" s="55" t="s">
        <v>358</v>
      </c>
      <c r="F469" s="108">
        <v>240</v>
      </c>
      <c r="G469" s="39">
        <f>34.29+13.72</f>
        <v>48.01</v>
      </c>
      <c r="H469" s="39">
        <f>34.29+13.72</f>
        <v>48.01</v>
      </c>
      <c r="I469" s="39">
        <v>13.72</v>
      </c>
      <c r="J469" s="240">
        <v>13.72</v>
      </c>
      <c r="K469" s="240">
        <v>13.72</v>
      </c>
      <c r="L469" s="240">
        <v>13.72</v>
      </c>
    </row>
    <row r="470" spans="1:12" ht="36" customHeight="1">
      <c r="A470" s="278">
        <v>454</v>
      </c>
      <c r="B470" s="78" t="s">
        <v>356</v>
      </c>
      <c r="C470" s="75" t="s">
        <v>160</v>
      </c>
      <c r="D470" s="72"/>
      <c r="E470" s="72"/>
      <c r="F470" s="72"/>
      <c r="G470" s="79">
        <f t="shared" ref="G470:G476" si="199">G471</f>
        <v>107.63</v>
      </c>
      <c r="H470" s="79">
        <f t="shared" ref="H470:I470" si="200">H471</f>
        <v>0</v>
      </c>
      <c r="I470" s="79">
        <f t="shared" si="200"/>
        <v>0</v>
      </c>
    </row>
    <row r="471" spans="1:12">
      <c r="A471" s="278">
        <v>455</v>
      </c>
      <c r="B471" s="117" t="s">
        <v>88</v>
      </c>
      <c r="C471" s="48" t="s">
        <v>160</v>
      </c>
      <c r="D471" s="55" t="s">
        <v>89</v>
      </c>
      <c r="E471" s="59"/>
      <c r="F471" s="59"/>
      <c r="G471" s="49">
        <f t="shared" si="199"/>
        <v>107.63</v>
      </c>
      <c r="H471" s="49">
        <f t="shared" ref="H471:I473" si="201">H472</f>
        <v>0</v>
      </c>
      <c r="I471" s="49">
        <f t="shared" si="201"/>
        <v>0</v>
      </c>
    </row>
    <row r="472" spans="1:12">
      <c r="A472" s="278">
        <v>456</v>
      </c>
      <c r="B472" s="115" t="s">
        <v>37</v>
      </c>
      <c r="C472" s="48" t="s">
        <v>160</v>
      </c>
      <c r="D472" s="55" t="s">
        <v>97</v>
      </c>
      <c r="E472" s="59"/>
      <c r="F472" s="59"/>
      <c r="G472" s="49">
        <f t="shared" si="199"/>
        <v>107.63</v>
      </c>
      <c r="H472" s="49">
        <f t="shared" si="201"/>
        <v>0</v>
      </c>
      <c r="I472" s="49">
        <f t="shared" si="201"/>
        <v>0</v>
      </c>
    </row>
    <row r="473" spans="1:12">
      <c r="A473" s="278">
        <v>457</v>
      </c>
      <c r="B473" s="107" t="s">
        <v>293</v>
      </c>
      <c r="C473" s="48" t="s">
        <v>160</v>
      </c>
      <c r="D473" s="55" t="s">
        <v>97</v>
      </c>
      <c r="E473" s="59">
        <v>9100000000</v>
      </c>
      <c r="F473" s="59"/>
      <c r="G473" s="39">
        <f t="shared" si="199"/>
        <v>107.63</v>
      </c>
      <c r="H473" s="39">
        <f t="shared" si="201"/>
        <v>0</v>
      </c>
      <c r="I473" s="39">
        <f t="shared" si="201"/>
        <v>0</v>
      </c>
    </row>
    <row r="474" spans="1:12">
      <c r="A474" s="278">
        <v>458</v>
      </c>
      <c r="B474" s="115" t="s">
        <v>295</v>
      </c>
      <c r="C474" s="48" t="s">
        <v>160</v>
      </c>
      <c r="D474" s="55" t="s">
        <v>97</v>
      </c>
      <c r="E474" s="59">
        <v>9120000000</v>
      </c>
      <c r="F474" s="59"/>
      <c r="G474" s="39">
        <f t="shared" si="199"/>
        <v>107.63</v>
      </c>
      <c r="H474" s="39">
        <f t="shared" ref="H474:I475" si="202">H475</f>
        <v>0</v>
      </c>
      <c r="I474" s="39">
        <f t="shared" si="202"/>
        <v>0</v>
      </c>
    </row>
    <row r="475" spans="1:12">
      <c r="A475" s="278">
        <v>459</v>
      </c>
      <c r="B475" s="115" t="s">
        <v>322</v>
      </c>
      <c r="C475" s="48" t="s">
        <v>160</v>
      </c>
      <c r="D475" s="55" t="s">
        <v>97</v>
      </c>
      <c r="E475" s="59">
        <v>9120000610</v>
      </c>
      <c r="F475" s="59"/>
      <c r="G475" s="39">
        <f>G476+G478+G480</f>
        <v>107.63</v>
      </c>
      <c r="H475" s="39">
        <f t="shared" si="202"/>
        <v>0</v>
      </c>
      <c r="I475" s="39">
        <f t="shared" si="202"/>
        <v>0</v>
      </c>
    </row>
    <row r="476" spans="1:12" ht="45">
      <c r="A476" s="278">
        <v>460</v>
      </c>
      <c r="B476" s="102" t="s">
        <v>17</v>
      </c>
      <c r="C476" s="48" t="s">
        <v>160</v>
      </c>
      <c r="D476" s="55" t="s">
        <v>97</v>
      </c>
      <c r="E476" s="100">
        <v>9120000610</v>
      </c>
      <c r="F476" s="59">
        <v>100</v>
      </c>
      <c r="G476" s="39">
        <f t="shared" si="199"/>
        <v>107.19</v>
      </c>
      <c r="H476" s="39">
        <f t="shared" ref="H476:I476" si="203">H477</f>
        <v>0</v>
      </c>
      <c r="I476" s="39">
        <f t="shared" si="203"/>
        <v>0</v>
      </c>
    </row>
    <row r="477" spans="1:12">
      <c r="A477" s="278">
        <v>461</v>
      </c>
      <c r="B477" s="102" t="s">
        <v>66</v>
      </c>
      <c r="C477" s="48" t="s">
        <v>160</v>
      </c>
      <c r="D477" s="55" t="s">
        <v>97</v>
      </c>
      <c r="E477" s="100">
        <v>9120000610</v>
      </c>
      <c r="F477" s="59">
        <v>110</v>
      </c>
      <c r="G477" s="39">
        <f>350-242.81</f>
        <v>107.19</v>
      </c>
      <c r="H477" s="39">
        <v>0</v>
      </c>
      <c r="I477" s="39">
        <v>0</v>
      </c>
      <c r="J477" s="240">
        <v>-242.81</v>
      </c>
    </row>
    <row r="478" spans="1:12">
      <c r="A478" s="278">
        <v>462</v>
      </c>
      <c r="B478" s="102" t="s">
        <v>22</v>
      </c>
      <c r="C478" s="48" t="s">
        <v>160</v>
      </c>
      <c r="D478" s="55" t="s">
        <v>97</v>
      </c>
      <c r="E478" s="111">
        <v>9120000610</v>
      </c>
      <c r="F478" s="111">
        <v>200</v>
      </c>
      <c r="G478" s="39">
        <f>G479</f>
        <v>0</v>
      </c>
      <c r="H478" s="39"/>
      <c r="I478" s="39"/>
    </row>
    <row r="479" spans="1:12">
      <c r="A479" s="278">
        <v>463</v>
      </c>
      <c r="B479" s="102" t="s">
        <v>23</v>
      </c>
      <c r="C479" s="48" t="s">
        <v>160</v>
      </c>
      <c r="D479" s="55" t="s">
        <v>97</v>
      </c>
      <c r="E479" s="111">
        <v>9120000610</v>
      </c>
      <c r="F479" s="111">
        <v>240</v>
      </c>
      <c r="G479" s="39">
        <f>20-0.44-19.56</f>
        <v>0</v>
      </c>
      <c r="H479" s="39">
        <v>0</v>
      </c>
      <c r="I479" s="39">
        <v>0</v>
      </c>
      <c r="J479" s="110">
        <v>-0.44</v>
      </c>
      <c r="K479" s="240">
        <v>-19.559999999999999</v>
      </c>
    </row>
    <row r="480" spans="1:12">
      <c r="A480" s="278">
        <v>464</v>
      </c>
      <c r="B480" s="190" t="s">
        <v>34</v>
      </c>
      <c r="C480" s="48" t="s">
        <v>160</v>
      </c>
      <c r="D480" s="55" t="s">
        <v>97</v>
      </c>
      <c r="E480" s="134">
        <v>9120000610</v>
      </c>
      <c r="F480" s="134">
        <v>800</v>
      </c>
      <c r="G480" s="39">
        <f>G481</f>
        <v>0.44</v>
      </c>
      <c r="H480" s="39"/>
      <c r="I480" s="39"/>
    </row>
    <row r="481" spans="1:10">
      <c r="A481" s="278">
        <v>465</v>
      </c>
      <c r="B481" s="190" t="s">
        <v>83</v>
      </c>
      <c r="C481" s="48" t="s">
        <v>160</v>
      </c>
      <c r="D481" s="55" t="s">
        <v>97</v>
      </c>
      <c r="E481" s="134">
        <v>9120000610</v>
      </c>
      <c r="F481" s="134">
        <v>850</v>
      </c>
      <c r="G481" s="39">
        <v>0.44</v>
      </c>
      <c r="H481" s="39">
        <v>0</v>
      </c>
      <c r="I481" s="39">
        <v>0</v>
      </c>
      <c r="J481" s="110">
        <v>0.44</v>
      </c>
    </row>
    <row r="482" spans="1:10" ht="39" customHeight="1">
      <c r="A482" s="278">
        <v>466</v>
      </c>
      <c r="B482" s="78" t="s">
        <v>300</v>
      </c>
      <c r="C482" s="75" t="s">
        <v>160</v>
      </c>
      <c r="D482" s="72"/>
      <c r="E482" s="72"/>
      <c r="F482" s="72"/>
      <c r="G482" s="79">
        <f>G483</f>
        <v>12974.48</v>
      </c>
      <c r="H482" s="79">
        <f t="shared" ref="H482:I482" si="204">H483</f>
        <v>12531.220000000001</v>
      </c>
      <c r="I482" s="79">
        <f t="shared" si="204"/>
        <v>12531.220000000001</v>
      </c>
    </row>
    <row r="483" spans="1:10">
      <c r="A483" s="278">
        <v>467</v>
      </c>
      <c r="B483" s="117" t="s">
        <v>88</v>
      </c>
      <c r="C483" s="48" t="s">
        <v>160</v>
      </c>
      <c r="D483" s="55" t="s">
        <v>89</v>
      </c>
      <c r="E483" s="59"/>
      <c r="F483" s="59"/>
      <c r="G483" s="49">
        <f>G484</f>
        <v>12974.48</v>
      </c>
      <c r="H483" s="49">
        <f t="shared" ref="H483:I485" si="205">H484</f>
        <v>12531.220000000001</v>
      </c>
      <c r="I483" s="49">
        <f t="shared" si="205"/>
        <v>12531.220000000001</v>
      </c>
    </row>
    <row r="484" spans="1:10">
      <c r="A484" s="278">
        <v>468</v>
      </c>
      <c r="B484" s="115" t="s">
        <v>37</v>
      </c>
      <c r="C484" s="48" t="s">
        <v>160</v>
      </c>
      <c r="D484" s="55" t="s">
        <v>97</v>
      </c>
      <c r="E484" s="59"/>
      <c r="F484" s="59"/>
      <c r="G484" s="49">
        <f>G485+G500</f>
        <v>12974.48</v>
      </c>
      <c r="H484" s="49">
        <f t="shared" ref="H484:I484" si="206">H485+H500</f>
        <v>12531.220000000001</v>
      </c>
      <c r="I484" s="49">
        <f t="shared" si="206"/>
        <v>12531.220000000001</v>
      </c>
    </row>
    <row r="485" spans="1:10">
      <c r="A485" s="278">
        <v>469</v>
      </c>
      <c r="B485" s="115" t="s">
        <v>293</v>
      </c>
      <c r="C485" s="48" t="s">
        <v>160</v>
      </c>
      <c r="D485" s="55" t="s">
        <v>97</v>
      </c>
      <c r="E485" s="59">
        <v>9100000000</v>
      </c>
      <c r="F485" s="59"/>
      <c r="G485" s="49">
        <f>G486</f>
        <v>12309.48</v>
      </c>
      <c r="H485" s="49">
        <f t="shared" si="205"/>
        <v>11531.220000000001</v>
      </c>
      <c r="I485" s="49">
        <f t="shared" si="205"/>
        <v>11531.220000000001</v>
      </c>
    </row>
    <row r="486" spans="1:10">
      <c r="A486" s="278">
        <v>470</v>
      </c>
      <c r="B486" s="115" t="s">
        <v>301</v>
      </c>
      <c r="C486" s="48" t="s">
        <v>160</v>
      </c>
      <c r="D486" s="55" t="s">
        <v>97</v>
      </c>
      <c r="E486" s="100">
        <v>9150000000</v>
      </c>
      <c r="F486" s="100"/>
      <c r="G486" s="49">
        <f>G487+G497+G494</f>
        <v>12309.48</v>
      </c>
      <c r="H486" s="49">
        <f t="shared" ref="H486:I486" si="207">H487</f>
        <v>11531.220000000001</v>
      </c>
      <c r="I486" s="49">
        <f t="shared" si="207"/>
        <v>11531.220000000001</v>
      </c>
    </row>
    <row r="487" spans="1:10">
      <c r="A487" s="278">
        <v>471</v>
      </c>
      <c r="B487" s="135" t="s">
        <v>322</v>
      </c>
      <c r="C487" s="48" t="s">
        <v>160</v>
      </c>
      <c r="D487" s="55" t="s">
        <v>97</v>
      </c>
      <c r="E487" s="59">
        <v>9150000620</v>
      </c>
      <c r="F487" s="59"/>
      <c r="G487" s="39">
        <f>G488+G490+G492</f>
        <v>11433.96</v>
      </c>
      <c r="H487" s="39">
        <f t="shared" ref="H487:I487" si="208">H488+H490+H492</f>
        <v>11531.220000000001</v>
      </c>
      <c r="I487" s="39">
        <f t="shared" si="208"/>
        <v>11531.220000000001</v>
      </c>
    </row>
    <row r="488" spans="1:10" ht="45">
      <c r="A488" s="278">
        <v>472</v>
      </c>
      <c r="B488" s="102" t="s">
        <v>17</v>
      </c>
      <c r="C488" s="48" t="s">
        <v>160</v>
      </c>
      <c r="D488" s="55" t="s">
        <v>97</v>
      </c>
      <c r="E488" s="59">
        <v>9150000620</v>
      </c>
      <c r="F488" s="59">
        <v>100</v>
      </c>
      <c r="G488" s="39">
        <f>G489</f>
        <v>6868.22</v>
      </c>
      <c r="H488" s="39">
        <f t="shared" ref="H488:I488" si="209">H489</f>
        <v>6868.22</v>
      </c>
      <c r="I488" s="39">
        <f t="shared" si="209"/>
        <v>6868.22</v>
      </c>
    </row>
    <row r="489" spans="1:10">
      <c r="A489" s="278">
        <v>473</v>
      </c>
      <c r="B489" s="102" t="s">
        <v>66</v>
      </c>
      <c r="C489" s="48" t="s">
        <v>160</v>
      </c>
      <c r="D489" s="55" t="s">
        <v>97</v>
      </c>
      <c r="E489" s="59">
        <v>9150000620</v>
      </c>
      <c r="F489" s="59">
        <v>110</v>
      </c>
      <c r="G489" s="39">
        <v>6868.22</v>
      </c>
      <c r="H489" s="39">
        <v>6868.22</v>
      </c>
      <c r="I489" s="39">
        <v>6868.22</v>
      </c>
    </row>
    <row r="490" spans="1:10">
      <c r="A490" s="278">
        <v>474</v>
      </c>
      <c r="B490" s="102" t="s">
        <v>22</v>
      </c>
      <c r="C490" s="48" t="s">
        <v>160</v>
      </c>
      <c r="D490" s="55" t="s">
        <v>97</v>
      </c>
      <c r="E490" s="59">
        <v>9150000620</v>
      </c>
      <c r="F490" s="59">
        <v>200</v>
      </c>
      <c r="G490" s="39">
        <f>G491</f>
        <v>4535.74</v>
      </c>
      <c r="H490" s="39">
        <f t="shared" ref="H490:I490" si="210">H491</f>
        <v>4633</v>
      </c>
      <c r="I490" s="39">
        <f t="shared" si="210"/>
        <v>4633</v>
      </c>
    </row>
    <row r="491" spans="1:10">
      <c r="A491" s="278">
        <v>475</v>
      </c>
      <c r="B491" s="102" t="s">
        <v>23</v>
      </c>
      <c r="C491" s="48" t="s">
        <v>160</v>
      </c>
      <c r="D491" s="55" t="s">
        <v>97</v>
      </c>
      <c r="E491" s="100">
        <v>9150000620</v>
      </c>
      <c r="F491" s="59">
        <v>240</v>
      </c>
      <c r="G491" s="39">
        <f>4663-30-97.26</f>
        <v>4535.74</v>
      </c>
      <c r="H491" s="39">
        <v>4633</v>
      </c>
      <c r="I491" s="39">
        <v>4633</v>
      </c>
      <c r="J491" s="240">
        <v>-97.26</v>
      </c>
    </row>
    <row r="492" spans="1:10">
      <c r="A492" s="278">
        <v>476</v>
      </c>
      <c r="B492" s="102" t="s">
        <v>34</v>
      </c>
      <c r="C492" s="48" t="s">
        <v>160</v>
      </c>
      <c r="D492" s="55" t="s">
        <v>97</v>
      </c>
      <c r="E492" s="100">
        <v>9150000620</v>
      </c>
      <c r="F492" s="59">
        <v>800</v>
      </c>
      <c r="G492" s="39">
        <f>G493</f>
        <v>30</v>
      </c>
      <c r="H492" s="39">
        <f t="shared" ref="H492:I492" si="211">H493</f>
        <v>30</v>
      </c>
      <c r="I492" s="39">
        <f t="shared" si="211"/>
        <v>30</v>
      </c>
    </row>
    <row r="493" spans="1:10">
      <c r="A493" s="278">
        <v>477</v>
      </c>
      <c r="B493" s="102" t="s">
        <v>83</v>
      </c>
      <c r="C493" s="48" t="s">
        <v>160</v>
      </c>
      <c r="D493" s="55" t="s">
        <v>97</v>
      </c>
      <c r="E493" s="100">
        <v>9150000620</v>
      </c>
      <c r="F493" s="59">
        <v>850</v>
      </c>
      <c r="G493" s="39">
        <v>30</v>
      </c>
      <c r="H493" s="39">
        <v>30</v>
      </c>
      <c r="I493" s="39">
        <v>30</v>
      </c>
    </row>
    <row r="494" spans="1:10">
      <c r="A494" s="278">
        <v>478</v>
      </c>
      <c r="B494" s="226" t="s">
        <v>574</v>
      </c>
      <c r="C494" s="48" t="s">
        <v>160</v>
      </c>
      <c r="D494" s="55" t="s">
        <v>97</v>
      </c>
      <c r="E494" s="134">
        <v>9150084580</v>
      </c>
      <c r="F494" s="134"/>
      <c r="G494" s="39">
        <f>G495</f>
        <v>97.26</v>
      </c>
      <c r="H494" s="39">
        <f t="shared" ref="H494:I495" si="212">H495</f>
        <v>0</v>
      </c>
      <c r="I494" s="39">
        <f t="shared" si="212"/>
        <v>0</v>
      </c>
    </row>
    <row r="495" spans="1:10">
      <c r="A495" s="278">
        <v>479</v>
      </c>
      <c r="B495" s="227" t="s">
        <v>22</v>
      </c>
      <c r="C495" s="48" t="s">
        <v>160</v>
      </c>
      <c r="D495" s="55" t="s">
        <v>97</v>
      </c>
      <c r="E495" s="134">
        <v>9150084580</v>
      </c>
      <c r="F495" s="134">
        <v>200</v>
      </c>
      <c r="G495" s="39">
        <f>G496</f>
        <v>97.26</v>
      </c>
      <c r="H495" s="39">
        <f t="shared" si="212"/>
        <v>0</v>
      </c>
      <c r="I495" s="39">
        <f t="shared" si="212"/>
        <v>0</v>
      </c>
    </row>
    <row r="496" spans="1:10">
      <c r="A496" s="278">
        <v>480</v>
      </c>
      <c r="B496" s="227" t="s">
        <v>23</v>
      </c>
      <c r="C496" s="48" t="s">
        <v>160</v>
      </c>
      <c r="D496" s="55" t="s">
        <v>97</v>
      </c>
      <c r="E496" s="134">
        <v>9150084580</v>
      </c>
      <c r="F496" s="134">
        <v>240</v>
      </c>
      <c r="G496" s="39">
        <v>97.26</v>
      </c>
      <c r="H496" s="39">
        <v>0</v>
      </c>
      <c r="I496" s="39">
        <v>0</v>
      </c>
      <c r="J496" s="240">
        <v>97.26</v>
      </c>
    </row>
    <row r="497" spans="1:11" ht="30">
      <c r="A497" s="278">
        <v>481</v>
      </c>
      <c r="B497" s="190" t="s">
        <v>519</v>
      </c>
      <c r="C497" s="48" t="s">
        <v>160</v>
      </c>
      <c r="D497" s="55" t="s">
        <v>97</v>
      </c>
      <c r="E497" s="134">
        <v>9150010360</v>
      </c>
      <c r="F497" s="134"/>
      <c r="G497" s="39">
        <f>G498</f>
        <v>778.26</v>
      </c>
      <c r="H497" s="39">
        <f t="shared" ref="H497:I498" si="213">H498</f>
        <v>0</v>
      </c>
      <c r="I497" s="39">
        <f t="shared" si="213"/>
        <v>0</v>
      </c>
    </row>
    <row r="498" spans="1:11" ht="45">
      <c r="A498" s="278">
        <v>482</v>
      </c>
      <c r="B498" s="190" t="s">
        <v>17</v>
      </c>
      <c r="C498" s="48" t="s">
        <v>160</v>
      </c>
      <c r="D498" s="55" t="s">
        <v>97</v>
      </c>
      <c r="E498" s="134">
        <v>9150010360</v>
      </c>
      <c r="F498" s="134">
        <v>100</v>
      </c>
      <c r="G498" s="39">
        <f>G499</f>
        <v>778.26</v>
      </c>
      <c r="H498" s="39">
        <f t="shared" si="213"/>
        <v>0</v>
      </c>
      <c r="I498" s="39">
        <f t="shared" si="213"/>
        <v>0</v>
      </c>
    </row>
    <row r="499" spans="1:11">
      <c r="A499" s="278">
        <v>483</v>
      </c>
      <c r="B499" s="190" t="s">
        <v>66</v>
      </c>
      <c r="C499" s="48" t="s">
        <v>160</v>
      </c>
      <c r="D499" s="55" t="s">
        <v>97</v>
      </c>
      <c r="E499" s="134">
        <v>9150010360</v>
      </c>
      <c r="F499" s="134">
        <v>110</v>
      </c>
      <c r="G499" s="39">
        <v>778.26</v>
      </c>
      <c r="H499" s="39">
        <v>0</v>
      </c>
      <c r="I499" s="39">
        <v>0</v>
      </c>
      <c r="J499" s="201">
        <v>778.26</v>
      </c>
    </row>
    <row r="500" spans="1:11">
      <c r="A500" s="278">
        <v>484</v>
      </c>
      <c r="B500" s="101" t="s">
        <v>299</v>
      </c>
      <c r="C500" s="48" t="s">
        <v>160</v>
      </c>
      <c r="D500" s="55" t="s">
        <v>97</v>
      </c>
      <c r="E500" s="55" t="s">
        <v>187</v>
      </c>
      <c r="F500" s="100"/>
      <c r="G500" s="39">
        <f>G501</f>
        <v>665</v>
      </c>
      <c r="H500" s="39">
        <f t="shared" ref="H500:I500" si="214">H501</f>
        <v>1000</v>
      </c>
      <c r="I500" s="39">
        <f t="shared" si="214"/>
        <v>1000</v>
      </c>
    </row>
    <row r="501" spans="1:11" ht="30">
      <c r="A501" s="278">
        <v>485</v>
      </c>
      <c r="B501" s="115" t="s">
        <v>446</v>
      </c>
      <c r="C501" s="48" t="s">
        <v>160</v>
      </c>
      <c r="D501" s="55" t="s">
        <v>97</v>
      </c>
      <c r="E501" s="55" t="s">
        <v>188</v>
      </c>
      <c r="F501" s="100"/>
      <c r="G501" s="39">
        <f>G502+G505</f>
        <v>665</v>
      </c>
      <c r="H501" s="39">
        <f t="shared" ref="H501:I501" si="215">H502+H505</f>
        <v>1000</v>
      </c>
      <c r="I501" s="39">
        <f t="shared" si="215"/>
        <v>1000</v>
      </c>
    </row>
    <row r="502" spans="1:11" ht="45">
      <c r="A502" s="278">
        <v>486</v>
      </c>
      <c r="B502" s="115" t="s">
        <v>412</v>
      </c>
      <c r="C502" s="48" t="s">
        <v>160</v>
      </c>
      <c r="D502" s="55" t="s">
        <v>97</v>
      </c>
      <c r="E502" s="55" t="s">
        <v>302</v>
      </c>
      <c r="F502" s="59"/>
      <c r="G502" s="39">
        <f>G503</f>
        <v>400</v>
      </c>
      <c r="H502" s="39">
        <f t="shared" ref="H502:I503" si="216">H503</f>
        <v>400</v>
      </c>
      <c r="I502" s="39">
        <f t="shared" si="216"/>
        <v>400</v>
      </c>
    </row>
    <row r="503" spans="1:11">
      <c r="A503" s="278">
        <v>487</v>
      </c>
      <c r="B503" s="102" t="s">
        <v>22</v>
      </c>
      <c r="C503" s="48" t="s">
        <v>160</v>
      </c>
      <c r="D503" s="55" t="s">
        <v>97</v>
      </c>
      <c r="E503" s="55" t="s">
        <v>302</v>
      </c>
      <c r="F503" s="59">
        <v>200</v>
      </c>
      <c r="G503" s="39">
        <f>G504</f>
        <v>400</v>
      </c>
      <c r="H503" s="39">
        <f t="shared" si="216"/>
        <v>400</v>
      </c>
      <c r="I503" s="39">
        <f t="shared" si="216"/>
        <v>400</v>
      </c>
    </row>
    <row r="504" spans="1:11">
      <c r="A504" s="278">
        <v>488</v>
      </c>
      <c r="B504" s="102" t="s">
        <v>23</v>
      </c>
      <c r="C504" s="48" t="s">
        <v>160</v>
      </c>
      <c r="D504" s="55" t="s">
        <v>97</v>
      </c>
      <c r="E504" s="55" t="s">
        <v>302</v>
      </c>
      <c r="F504" s="59">
        <v>240</v>
      </c>
      <c r="G504" s="39">
        <f>400-100+100</f>
        <v>400</v>
      </c>
      <c r="H504" s="39">
        <v>400</v>
      </c>
      <c r="I504" s="39">
        <v>400</v>
      </c>
      <c r="J504" s="240">
        <v>-100</v>
      </c>
      <c r="K504" s="240">
        <v>100</v>
      </c>
    </row>
    <row r="505" spans="1:11" ht="45">
      <c r="A505" s="278">
        <v>489</v>
      </c>
      <c r="B505" s="115" t="s">
        <v>413</v>
      </c>
      <c r="C505" s="48" t="s">
        <v>160</v>
      </c>
      <c r="D505" s="55" t="s">
        <v>97</v>
      </c>
      <c r="E505" s="55" t="s">
        <v>303</v>
      </c>
      <c r="F505" s="59"/>
      <c r="G505" s="39">
        <f>G506</f>
        <v>265</v>
      </c>
      <c r="H505" s="39">
        <f t="shared" ref="H505:I506" si="217">H506</f>
        <v>600</v>
      </c>
      <c r="I505" s="39">
        <f t="shared" si="217"/>
        <v>600</v>
      </c>
    </row>
    <row r="506" spans="1:11">
      <c r="A506" s="278">
        <v>490</v>
      </c>
      <c r="B506" s="102" t="s">
        <v>22</v>
      </c>
      <c r="C506" s="48" t="s">
        <v>160</v>
      </c>
      <c r="D506" s="55" t="s">
        <v>97</v>
      </c>
      <c r="E506" s="55" t="s">
        <v>303</v>
      </c>
      <c r="F506" s="59">
        <v>200</v>
      </c>
      <c r="G506" s="39">
        <f>G507</f>
        <v>265</v>
      </c>
      <c r="H506" s="39">
        <f t="shared" si="217"/>
        <v>600</v>
      </c>
      <c r="I506" s="39">
        <f t="shared" si="217"/>
        <v>600</v>
      </c>
    </row>
    <row r="507" spans="1:11">
      <c r="A507" s="278">
        <v>491</v>
      </c>
      <c r="B507" s="102" t="s">
        <v>23</v>
      </c>
      <c r="C507" s="48" t="s">
        <v>160</v>
      </c>
      <c r="D507" s="55" t="s">
        <v>97</v>
      </c>
      <c r="E507" s="55" t="s">
        <v>303</v>
      </c>
      <c r="F507" s="59">
        <v>240</v>
      </c>
      <c r="G507" s="39">
        <f>600-400+65</f>
        <v>265</v>
      </c>
      <c r="H507" s="39">
        <v>600</v>
      </c>
      <c r="I507" s="39">
        <v>600</v>
      </c>
      <c r="J507" s="240">
        <v>-400</v>
      </c>
      <c r="K507" s="240">
        <v>65</v>
      </c>
    </row>
    <row r="508" spans="1:11" ht="35.25" customHeight="1">
      <c r="A508" s="278">
        <v>492</v>
      </c>
      <c r="B508" s="76" t="s">
        <v>245</v>
      </c>
      <c r="C508" s="73">
        <v>951</v>
      </c>
      <c r="D508" s="70"/>
      <c r="E508" s="70"/>
      <c r="F508" s="70"/>
      <c r="G508" s="71">
        <f>G509+G612</f>
        <v>569133.72499999998</v>
      </c>
      <c r="H508" s="71">
        <f>H509+H612</f>
        <v>540873.42500000005</v>
      </c>
      <c r="I508" s="71">
        <f>I509+I612</f>
        <v>545500.52499999991</v>
      </c>
    </row>
    <row r="509" spans="1:11">
      <c r="A509" s="278">
        <v>493</v>
      </c>
      <c r="B509" s="117" t="s">
        <v>117</v>
      </c>
      <c r="C509" s="43">
        <v>951</v>
      </c>
      <c r="D509" s="43" t="s">
        <v>118</v>
      </c>
      <c r="E509" s="42"/>
      <c r="F509" s="42"/>
      <c r="G509" s="39">
        <f>G510+G531+G573+G595</f>
        <v>555393.22499999998</v>
      </c>
      <c r="H509" s="39">
        <f>H510+H531+H573+H595</f>
        <v>528261.72500000009</v>
      </c>
      <c r="I509" s="39">
        <f>I510+I531+I573+I595</f>
        <v>532888.82499999995</v>
      </c>
    </row>
    <row r="510" spans="1:11">
      <c r="A510" s="278">
        <v>494</v>
      </c>
      <c r="B510" s="102" t="s">
        <v>119</v>
      </c>
      <c r="C510" s="43">
        <v>951</v>
      </c>
      <c r="D510" s="43" t="s">
        <v>120</v>
      </c>
      <c r="E510" s="42"/>
      <c r="F510" s="42"/>
      <c r="G510" s="39">
        <f>G511</f>
        <v>185027.72000000003</v>
      </c>
      <c r="H510" s="39">
        <f t="shared" ref="H510:I511" si="218">H511</f>
        <v>176848.96000000002</v>
      </c>
      <c r="I510" s="39">
        <f t="shared" si="218"/>
        <v>176848.96000000002</v>
      </c>
    </row>
    <row r="511" spans="1:11" ht="30">
      <c r="A511" s="278">
        <v>495</v>
      </c>
      <c r="B511" s="115" t="s">
        <v>57</v>
      </c>
      <c r="C511" s="43">
        <v>951</v>
      </c>
      <c r="D511" s="43" t="s">
        <v>120</v>
      </c>
      <c r="E511" s="43" t="s">
        <v>193</v>
      </c>
      <c r="F511" s="42"/>
      <c r="G511" s="39">
        <f>G512</f>
        <v>185027.72000000003</v>
      </c>
      <c r="H511" s="39">
        <f t="shared" si="218"/>
        <v>176848.96000000002</v>
      </c>
      <c r="I511" s="39">
        <f t="shared" si="218"/>
        <v>176848.96000000002</v>
      </c>
    </row>
    <row r="512" spans="1:11">
      <c r="A512" s="278">
        <v>496</v>
      </c>
      <c r="B512" s="115" t="s">
        <v>139</v>
      </c>
      <c r="C512" s="43">
        <v>951</v>
      </c>
      <c r="D512" s="43" t="s">
        <v>120</v>
      </c>
      <c r="E512" s="43" t="s">
        <v>203</v>
      </c>
      <c r="F512" s="42"/>
      <c r="G512" s="39">
        <f>G513+G519+G522+G525+G516+G528</f>
        <v>185027.72000000003</v>
      </c>
      <c r="H512" s="39">
        <f t="shared" ref="H512:I512" si="219">H513+H519+H522+H525+H516+H528</f>
        <v>176848.96000000002</v>
      </c>
      <c r="I512" s="39">
        <f t="shared" si="219"/>
        <v>176848.96000000002</v>
      </c>
    </row>
    <row r="513" spans="1:12" ht="45">
      <c r="A513" s="278">
        <v>497</v>
      </c>
      <c r="B513" s="276" t="s">
        <v>368</v>
      </c>
      <c r="C513" s="43">
        <v>951</v>
      </c>
      <c r="D513" s="43" t="s">
        <v>120</v>
      </c>
      <c r="E513" s="43" t="s">
        <v>204</v>
      </c>
      <c r="F513" s="42"/>
      <c r="G513" s="39">
        <f>G514</f>
        <v>88350.46</v>
      </c>
      <c r="H513" s="39">
        <f t="shared" ref="H513:I513" si="220">H514</f>
        <v>84817.46</v>
      </c>
      <c r="I513" s="39">
        <f t="shared" si="220"/>
        <v>84817.46</v>
      </c>
    </row>
    <row r="514" spans="1:12" ht="30">
      <c r="A514" s="278">
        <v>498</v>
      </c>
      <c r="B514" s="102" t="s">
        <v>52</v>
      </c>
      <c r="C514" s="43">
        <v>951</v>
      </c>
      <c r="D514" s="43" t="s">
        <v>120</v>
      </c>
      <c r="E514" s="43" t="s">
        <v>204</v>
      </c>
      <c r="F514" s="42">
        <v>600</v>
      </c>
      <c r="G514" s="39">
        <f>G515</f>
        <v>88350.46</v>
      </c>
      <c r="H514" s="39">
        <f t="shared" ref="H514:I514" si="221">H515</f>
        <v>84817.46</v>
      </c>
      <c r="I514" s="39">
        <f t="shared" si="221"/>
        <v>84817.46</v>
      </c>
    </row>
    <row r="515" spans="1:12">
      <c r="A515" s="278">
        <v>499</v>
      </c>
      <c r="B515" s="102" t="s">
        <v>70</v>
      </c>
      <c r="C515" s="43">
        <v>951</v>
      </c>
      <c r="D515" s="43" t="s">
        <v>120</v>
      </c>
      <c r="E515" s="43" t="s">
        <v>204</v>
      </c>
      <c r="F515" s="42">
        <v>610</v>
      </c>
      <c r="G515" s="39">
        <f>84817.46+3533</f>
        <v>88350.46</v>
      </c>
      <c r="H515" s="39">
        <v>84817.46</v>
      </c>
      <c r="I515" s="39">
        <v>84817.46</v>
      </c>
      <c r="J515" s="240">
        <v>3533</v>
      </c>
    </row>
    <row r="516" spans="1:12" ht="45">
      <c r="A516" s="278">
        <v>500</v>
      </c>
      <c r="B516" s="101" t="s">
        <v>411</v>
      </c>
      <c r="C516" s="43" t="s">
        <v>174</v>
      </c>
      <c r="D516" s="43" t="s">
        <v>120</v>
      </c>
      <c r="E516" s="43" t="s">
        <v>379</v>
      </c>
      <c r="F516" s="42"/>
      <c r="G516" s="39">
        <f>G517</f>
        <v>2599.64</v>
      </c>
      <c r="H516" s="39">
        <f t="shared" ref="H516:I516" si="222">H517</f>
        <v>0</v>
      </c>
      <c r="I516" s="39">
        <f t="shared" si="222"/>
        <v>0</v>
      </c>
    </row>
    <row r="517" spans="1:12" ht="30">
      <c r="A517" s="278">
        <v>501</v>
      </c>
      <c r="B517" s="102" t="s">
        <v>52</v>
      </c>
      <c r="C517" s="43" t="s">
        <v>174</v>
      </c>
      <c r="D517" s="43" t="s">
        <v>120</v>
      </c>
      <c r="E517" s="43" t="s">
        <v>379</v>
      </c>
      <c r="F517" s="42">
        <v>600</v>
      </c>
      <c r="G517" s="39">
        <f>G518</f>
        <v>2599.64</v>
      </c>
      <c r="H517" s="39">
        <f t="shared" ref="H517:I517" si="223">H518</f>
        <v>0</v>
      </c>
      <c r="I517" s="39">
        <f t="shared" si="223"/>
        <v>0</v>
      </c>
    </row>
    <row r="518" spans="1:12">
      <c r="A518" s="278">
        <v>502</v>
      </c>
      <c r="B518" s="102" t="s">
        <v>70</v>
      </c>
      <c r="C518" s="43" t="s">
        <v>174</v>
      </c>
      <c r="D518" s="43" t="s">
        <v>120</v>
      </c>
      <c r="E518" s="43" t="s">
        <v>379</v>
      </c>
      <c r="F518" s="42">
        <v>610</v>
      </c>
      <c r="G518" s="39">
        <v>2599.64</v>
      </c>
      <c r="H518" s="39">
        <v>0</v>
      </c>
      <c r="I518" s="39">
        <v>0</v>
      </c>
    </row>
    <row r="519" spans="1:12" ht="112.5" customHeight="1">
      <c r="A519" s="278">
        <v>503</v>
      </c>
      <c r="B519" s="122" t="s">
        <v>369</v>
      </c>
      <c r="C519" s="43">
        <v>951</v>
      </c>
      <c r="D519" s="43" t="s">
        <v>120</v>
      </c>
      <c r="E519" s="43" t="s">
        <v>205</v>
      </c>
      <c r="F519" s="42"/>
      <c r="G519" s="39">
        <f>G520</f>
        <v>38609.769999999997</v>
      </c>
      <c r="H519" s="39">
        <f t="shared" ref="H519:I519" si="224">H520</f>
        <v>38114.799999999996</v>
      </c>
      <c r="I519" s="39">
        <f t="shared" si="224"/>
        <v>38114.799999999996</v>
      </c>
    </row>
    <row r="520" spans="1:12" ht="30">
      <c r="A520" s="278">
        <v>504</v>
      </c>
      <c r="B520" s="102" t="s">
        <v>52</v>
      </c>
      <c r="C520" s="43">
        <v>951</v>
      </c>
      <c r="D520" s="43" t="s">
        <v>120</v>
      </c>
      <c r="E520" s="43" t="s">
        <v>205</v>
      </c>
      <c r="F520" s="42">
        <v>600</v>
      </c>
      <c r="G520" s="39">
        <f>G521</f>
        <v>38609.769999999997</v>
      </c>
      <c r="H520" s="39">
        <f t="shared" ref="H520:I520" si="225">H521</f>
        <v>38114.799999999996</v>
      </c>
      <c r="I520" s="39">
        <f t="shared" si="225"/>
        <v>38114.799999999996</v>
      </c>
    </row>
    <row r="521" spans="1:12">
      <c r="A521" s="278">
        <v>505</v>
      </c>
      <c r="B521" s="102" t="s">
        <v>70</v>
      </c>
      <c r="C521" s="43">
        <v>951</v>
      </c>
      <c r="D521" s="43" t="s">
        <v>120</v>
      </c>
      <c r="E521" s="43" t="s">
        <v>205</v>
      </c>
      <c r="F521" s="42">
        <v>610</v>
      </c>
      <c r="G521" s="39">
        <f>36554.6+2055.17</f>
        <v>38609.769999999997</v>
      </c>
      <c r="H521" s="39">
        <f>36554.6+1560.2</f>
        <v>38114.799999999996</v>
      </c>
      <c r="I521" s="39">
        <f>36554.6+1560.2</f>
        <v>38114.799999999996</v>
      </c>
      <c r="J521" s="201">
        <v>2055.17</v>
      </c>
      <c r="K521" s="201">
        <v>1560.2</v>
      </c>
      <c r="L521" s="201">
        <v>1560.2</v>
      </c>
    </row>
    <row r="522" spans="1:12" ht="105">
      <c r="A522" s="278">
        <v>506</v>
      </c>
      <c r="B522" s="122" t="s">
        <v>370</v>
      </c>
      <c r="C522" s="43">
        <v>951</v>
      </c>
      <c r="D522" s="43" t="s">
        <v>120</v>
      </c>
      <c r="E522" s="43" t="s">
        <v>206</v>
      </c>
      <c r="F522" s="42"/>
      <c r="G522" s="39">
        <f>G523</f>
        <v>53679.85</v>
      </c>
      <c r="H522" s="39">
        <f t="shared" ref="H522:I522" si="226">H523</f>
        <v>53628.7</v>
      </c>
      <c r="I522" s="39">
        <f t="shared" si="226"/>
        <v>53628.7</v>
      </c>
    </row>
    <row r="523" spans="1:12" ht="30">
      <c r="A523" s="278">
        <v>507</v>
      </c>
      <c r="B523" s="102" t="s">
        <v>52</v>
      </c>
      <c r="C523" s="43">
        <v>951</v>
      </c>
      <c r="D523" s="43" t="s">
        <v>120</v>
      </c>
      <c r="E523" s="43" t="s">
        <v>206</v>
      </c>
      <c r="F523" s="42">
        <v>600</v>
      </c>
      <c r="G523" s="39">
        <f>G524</f>
        <v>53679.85</v>
      </c>
      <c r="H523" s="39">
        <f t="shared" ref="H523:I523" si="227">H524</f>
        <v>53628.7</v>
      </c>
      <c r="I523" s="39">
        <f t="shared" si="227"/>
        <v>53628.7</v>
      </c>
    </row>
    <row r="524" spans="1:12">
      <c r="A524" s="278">
        <v>508</v>
      </c>
      <c r="B524" s="102" t="s">
        <v>70</v>
      </c>
      <c r="C524" s="43">
        <v>951</v>
      </c>
      <c r="D524" s="43" t="s">
        <v>120</v>
      </c>
      <c r="E524" s="43" t="s">
        <v>206</v>
      </c>
      <c r="F524" s="42">
        <v>610</v>
      </c>
      <c r="G524" s="39">
        <f>53628.7+51.15</f>
        <v>53679.85</v>
      </c>
      <c r="H524" s="39">
        <v>53628.7</v>
      </c>
      <c r="I524" s="39">
        <v>53628.7</v>
      </c>
      <c r="J524" s="201">
        <v>51.15</v>
      </c>
    </row>
    <row r="525" spans="1:12" ht="105">
      <c r="A525" s="278">
        <v>509</v>
      </c>
      <c r="B525" s="123" t="s">
        <v>371</v>
      </c>
      <c r="C525" s="43">
        <v>951</v>
      </c>
      <c r="D525" s="43" t="s">
        <v>120</v>
      </c>
      <c r="E525" s="43" t="s">
        <v>207</v>
      </c>
      <c r="F525" s="42"/>
      <c r="G525" s="39">
        <f>G526</f>
        <v>288</v>
      </c>
      <c r="H525" s="39">
        <f t="shared" ref="H525:I525" si="228">H526</f>
        <v>288</v>
      </c>
      <c r="I525" s="39">
        <f t="shared" si="228"/>
        <v>288</v>
      </c>
    </row>
    <row r="526" spans="1:12" ht="30">
      <c r="A526" s="278">
        <v>510</v>
      </c>
      <c r="B526" s="102" t="s">
        <v>52</v>
      </c>
      <c r="C526" s="43">
        <v>951</v>
      </c>
      <c r="D526" s="43" t="s">
        <v>120</v>
      </c>
      <c r="E526" s="43" t="s">
        <v>207</v>
      </c>
      <c r="F526" s="42">
        <v>600</v>
      </c>
      <c r="G526" s="39">
        <f>G527</f>
        <v>288</v>
      </c>
      <c r="H526" s="39">
        <f t="shared" ref="H526:I526" si="229">H527</f>
        <v>288</v>
      </c>
      <c r="I526" s="39">
        <f t="shared" si="229"/>
        <v>288</v>
      </c>
    </row>
    <row r="527" spans="1:12">
      <c r="A527" s="278">
        <v>511</v>
      </c>
      <c r="B527" s="102" t="s">
        <v>70</v>
      </c>
      <c r="C527" s="43">
        <v>951</v>
      </c>
      <c r="D527" s="43" t="s">
        <v>120</v>
      </c>
      <c r="E527" s="43" t="s">
        <v>207</v>
      </c>
      <c r="F527" s="42">
        <v>610</v>
      </c>
      <c r="G527" s="39">
        <v>288</v>
      </c>
      <c r="H527" s="39">
        <v>288</v>
      </c>
      <c r="I527" s="39">
        <v>288</v>
      </c>
    </row>
    <row r="528" spans="1:12">
      <c r="A528" s="278">
        <v>512</v>
      </c>
      <c r="B528" s="102" t="s">
        <v>480</v>
      </c>
      <c r="C528" s="43" t="s">
        <v>174</v>
      </c>
      <c r="D528" s="43" t="s">
        <v>120</v>
      </c>
      <c r="E528" s="43" t="s">
        <v>479</v>
      </c>
      <c r="F528" s="42"/>
      <c r="G528" s="39">
        <f>G529</f>
        <v>1500</v>
      </c>
      <c r="H528" s="39"/>
      <c r="I528" s="39"/>
    </row>
    <row r="529" spans="1:12" ht="30">
      <c r="A529" s="278">
        <v>513</v>
      </c>
      <c r="B529" s="102" t="s">
        <v>52</v>
      </c>
      <c r="C529" s="43" t="s">
        <v>174</v>
      </c>
      <c r="D529" s="43" t="s">
        <v>120</v>
      </c>
      <c r="E529" s="43" t="s">
        <v>479</v>
      </c>
      <c r="F529" s="42">
        <v>600</v>
      </c>
      <c r="G529" s="39">
        <f>G530</f>
        <v>1500</v>
      </c>
      <c r="H529" s="39"/>
      <c r="I529" s="39"/>
    </row>
    <row r="530" spans="1:12">
      <c r="A530" s="278">
        <v>514</v>
      </c>
      <c r="B530" s="102" t="s">
        <v>70</v>
      </c>
      <c r="C530" s="43" t="s">
        <v>174</v>
      </c>
      <c r="D530" s="43" t="s">
        <v>120</v>
      </c>
      <c r="E530" s="43" t="s">
        <v>479</v>
      </c>
      <c r="F530" s="42">
        <v>610</v>
      </c>
      <c r="G530" s="39">
        <v>1500</v>
      </c>
      <c r="H530" s="39">
        <v>0</v>
      </c>
      <c r="I530" s="39">
        <v>0</v>
      </c>
    </row>
    <row r="531" spans="1:12">
      <c r="A531" s="278">
        <v>515</v>
      </c>
      <c r="B531" s="115" t="s">
        <v>68</v>
      </c>
      <c r="C531" s="43">
        <v>951</v>
      </c>
      <c r="D531" s="43" t="s">
        <v>121</v>
      </c>
      <c r="E531" s="42"/>
      <c r="F531" s="42"/>
      <c r="G531" s="39">
        <f>G532</f>
        <v>325039.94999999995</v>
      </c>
      <c r="H531" s="39">
        <f t="shared" ref="H531:I532" si="230">H532</f>
        <v>308030.65000000002</v>
      </c>
      <c r="I531" s="39">
        <f t="shared" si="230"/>
        <v>312657.75</v>
      </c>
    </row>
    <row r="532" spans="1:12" ht="30">
      <c r="A532" s="278">
        <v>516</v>
      </c>
      <c r="B532" s="115" t="s">
        <v>57</v>
      </c>
      <c r="C532" s="43">
        <v>951</v>
      </c>
      <c r="D532" s="43" t="s">
        <v>121</v>
      </c>
      <c r="E532" s="43" t="s">
        <v>193</v>
      </c>
      <c r="F532" s="42"/>
      <c r="G532" s="39">
        <f>G533</f>
        <v>325039.94999999995</v>
      </c>
      <c r="H532" s="39">
        <f t="shared" si="230"/>
        <v>308030.65000000002</v>
      </c>
      <c r="I532" s="39">
        <f t="shared" si="230"/>
        <v>312657.75</v>
      </c>
    </row>
    <row r="533" spans="1:12">
      <c r="A533" s="278">
        <v>517</v>
      </c>
      <c r="B533" s="115" t="s">
        <v>140</v>
      </c>
      <c r="C533" s="43">
        <v>951</v>
      </c>
      <c r="D533" s="43" t="s">
        <v>121</v>
      </c>
      <c r="E533" s="43" t="s">
        <v>208</v>
      </c>
      <c r="F533" s="42"/>
      <c r="G533" s="39">
        <f>G534+G537+G540+G543+G546+G549+G552+G555+G558+G564+G567+G570+G561</f>
        <v>325039.94999999995</v>
      </c>
      <c r="H533" s="39">
        <f t="shared" ref="H533:I533" si="231">H534+H537+H540+H543+H546+H549+H552+H555+H558+H564+H567+H570</f>
        <v>308030.65000000002</v>
      </c>
      <c r="I533" s="39">
        <f t="shared" si="231"/>
        <v>312657.75</v>
      </c>
    </row>
    <row r="534" spans="1:12" ht="45">
      <c r="A534" s="278">
        <v>518</v>
      </c>
      <c r="B534" s="102" t="s">
        <v>372</v>
      </c>
      <c r="C534" s="43">
        <v>951</v>
      </c>
      <c r="D534" s="43" t="s">
        <v>121</v>
      </c>
      <c r="E534" s="43" t="s">
        <v>209</v>
      </c>
      <c r="F534" s="42"/>
      <c r="G534" s="39">
        <f>G535</f>
        <v>121362.18</v>
      </c>
      <c r="H534" s="39">
        <f t="shared" ref="H534:I534" si="232">H535</f>
        <v>114952.18</v>
      </c>
      <c r="I534" s="39">
        <f t="shared" si="232"/>
        <v>114952.18</v>
      </c>
    </row>
    <row r="535" spans="1:12" ht="30">
      <c r="A535" s="278">
        <v>519</v>
      </c>
      <c r="B535" s="102" t="s">
        <v>52</v>
      </c>
      <c r="C535" s="43">
        <v>951</v>
      </c>
      <c r="D535" s="43" t="s">
        <v>121</v>
      </c>
      <c r="E535" s="43" t="s">
        <v>209</v>
      </c>
      <c r="F535" s="42">
        <v>600</v>
      </c>
      <c r="G535" s="39">
        <f>G536</f>
        <v>121362.18</v>
      </c>
      <c r="H535" s="39">
        <f t="shared" ref="H535:I535" si="233">H536</f>
        <v>114952.18</v>
      </c>
      <c r="I535" s="39">
        <f t="shared" si="233"/>
        <v>114952.18</v>
      </c>
    </row>
    <row r="536" spans="1:12">
      <c r="A536" s="278">
        <v>520</v>
      </c>
      <c r="B536" s="102" t="s">
        <v>70</v>
      </c>
      <c r="C536" s="43">
        <v>951</v>
      </c>
      <c r="D536" s="43" t="s">
        <v>121</v>
      </c>
      <c r="E536" s="43" t="s">
        <v>209</v>
      </c>
      <c r="F536" s="42">
        <v>610</v>
      </c>
      <c r="G536" s="39">
        <f>114952.18+6410</f>
        <v>121362.18</v>
      </c>
      <c r="H536" s="39">
        <v>114952.18</v>
      </c>
      <c r="I536" s="39">
        <v>114952.18</v>
      </c>
      <c r="J536" s="240">
        <v>6410</v>
      </c>
    </row>
    <row r="537" spans="1:12" ht="45">
      <c r="A537" s="278">
        <v>521</v>
      </c>
      <c r="B537" s="101" t="s">
        <v>411</v>
      </c>
      <c r="C537" s="43" t="s">
        <v>174</v>
      </c>
      <c r="D537" s="43" t="s">
        <v>121</v>
      </c>
      <c r="E537" s="43" t="s">
        <v>380</v>
      </c>
      <c r="F537" s="42"/>
      <c r="G537" s="39">
        <f>G538</f>
        <v>3675.35</v>
      </c>
      <c r="H537" s="39">
        <f t="shared" ref="H537:I538" si="234">H538</f>
        <v>0</v>
      </c>
      <c r="I537" s="39">
        <f t="shared" si="234"/>
        <v>0</v>
      </c>
    </row>
    <row r="538" spans="1:12" ht="30">
      <c r="A538" s="278">
        <v>522</v>
      </c>
      <c r="B538" s="102" t="s">
        <v>52</v>
      </c>
      <c r="C538" s="43" t="s">
        <v>174</v>
      </c>
      <c r="D538" s="43" t="s">
        <v>121</v>
      </c>
      <c r="E538" s="43" t="s">
        <v>380</v>
      </c>
      <c r="F538" s="42">
        <v>600</v>
      </c>
      <c r="G538" s="39">
        <f>G539</f>
        <v>3675.35</v>
      </c>
      <c r="H538" s="39">
        <f t="shared" si="234"/>
        <v>0</v>
      </c>
      <c r="I538" s="39">
        <f t="shared" si="234"/>
        <v>0</v>
      </c>
    </row>
    <row r="539" spans="1:12">
      <c r="A539" s="278">
        <v>523</v>
      </c>
      <c r="B539" s="102" t="s">
        <v>70</v>
      </c>
      <c r="C539" s="43" t="s">
        <v>174</v>
      </c>
      <c r="D539" s="43" t="s">
        <v>121</v>
      </c>
      <c r="E539" s="43" t="s">
        <v>380</v>
      </c>
      <c r="F539" s="42">
        <v>610</v>
      </c>
      <c r="G539" s="39">
        <v>3675.35</v>
      </c>
      <c r="H539" s="39">
        <v>0</v>
      </c>
      <c r="I539" s="39">
        <v>0</v>
      </c>
    </row>
    <row r="540" spans="1:12" ht="60">
      <c r="A540" s="278">
        <v>524</v>
      </c>
      <c r="B540" s="210" t="s">
        <v>564</v>
      </c>
      <c r="C540" s="189" t="s">
        <v>174</v>
      </c>
      <c r="D540" s="189" t="s">
        <v>121</v>
      </c>
      <c r="E540" s="189" t="s">
        <v>523</v>
      </c>
      <c r="F540" s="188"/>
      <c r="G540" s="39">
        <f>G541</f>
        <v>7171.4</v>
      </c>
      <c r="H540" s="39">
        <f t="shared" ref="H540:I541" si="235">H541</f>
        <v>21514.2</v>
      </c>
      <c r="I540" s="39">
        <f t="shared" si="235"/>
        <v>21514.2</v>
      </c>
    </row>
    <row r="541" spans="1:12" ht="30">
      <c r="A541" s="278">
        <v>525</v>
      </c>
      <c r="B541" s="190" t="s">
        <v>52</v>
      </c>
      <c r="C541" s="189" t="s">
        <v>174</v>
      </c>
      <c r="D541" s="189" t="s">
        <v>121</v>
      </c>
      <c r="E541" s="189" t="s">
        <v>523</v>
      </c>
      <c r="F541" s="188">
        <v>600</v>
      </c>
      <c r="G541" s="39">
        <f>G542</f>
        <v>7171.4</v>
      </c>
      <c r="H541" s="39">
        <f t="shared" si="235"/>
        <v>21514.2</v>
      </c>
      <c r="I541" s="39">
        <f t="shared" si="235"/>
        <v>21514.2</v>
      </c>
    </row>
    <row r="542" spans="1:12">
      <c r="A542" s="278">
        <v>526</v>
      </c>
      <c r="B542" s="190" t="s">
        <v>70</v>
      </c>
      <c r="C542" s="189" t="s">
        <v>174</v>
      </c>
      <c r="D542" s="189" t="s">
        <v>121</v>
      </c>
      <c r="E542" s="189" t="s">
        <v>523</v>
      </c>
      <c r="F542" s="188">
        <v>610</v>
      </c>
      <c r="G542" s="39">
        <v>7171.4</v>
      </c>
      <c r="H542" s="39">
        <v>21514.2</v>
      </c>
      <c r="I542" s="39">
        <v>21514.2</v>
      </c>
      <c r="J542" s="202">
        <v>7171.4</v>
      </c>
      <c r="K542" s="202">
        <v>21514.2</v>
      </c>
      <c r="L542" s="202">
        <v>21514.2</v>
      </c>
    </row>
    <row r="543" spans="1:12" ht="75">
      <c r="A543" s="278">
        <v>527</v>
      </c>
      <c r="B543" s="124" t="s">
        <v>373</v>
      </c>
      <c r="C543" s="43">
        <v>951</v>
      </c>
      <c r="D543" s="43" t="s">
        <v>121</v>
      </c>
      <c r="E543" s="43" t="s">
        <v>255</v>
      </c>
      <c r="F543" s="42"/>
      <c r="G543" s="39">
        <f>G544</f>
        <v>2866.3</v>
      </c>
      <c r="H543" s="39">
        <f t="shared" ref="H543:I543" si="236">H544</f>
        <v>2431.4</v>
      </c>
      <c r="I543" s="39">
        <f t="shared" si="236"/>
        <v>2431.4</v>
      </c>
    </row>
    <row r="544" spans="1:12" ht="30">
      <c r="A544" s="278">
        <v>528</v>
      </c>
      <c r="B544" s="102" t="s">
        <v>52</v>
      </c>
      <c r="C544" s="43">
        <v>951</v>
      </c>
      <c r="D544" s="43" t="s">
        <v>121</v>
      </c>
      <c r="E544" s="43" t="s">
        <v>255</v>
      </c>
      <c r="F544" s="42">
        <v>600</v>
      </c>
      <c r="G544" s="39">
        <f>G545</f>
        <v>2866.3</v>
      </c>
      <c r="H544" s="39">
        <f t="shared" ref="H544:I544" si="237">H545</f>
        <v>2431.4</v>
      </c>
      <c r="I544" s="39">
        <f t="shared" si="237"/>
        <v>2431.4</v>
      </c>
    </row>
    <row r="545" spans="1:13">
      <c r="A545" s="278">
        <v>529</v>
      </c>
      <c r="B545" s="102" t="s">
        <v>70</v>
      </c>
      <c r="C545" s="43">
        <v>951</v>
      </c>
      <c r="D545" s="43" t="s">
        <v>121</v>
      </c>
      <c r="E545" s="43" t="s">
        <v>255</v>
      </c>
      <c r="F545" s="42">
        <v>610</v>
      </c>
      <c r="G545" s="39">
        <f>2431.4+434.9</f>
        <v>2866.3</v>
      </c>
      <c r="H545" s="39">
        <v>2431.4</v>
      </c>
      <c r="I545" s="39">
        <v>2431.4</v>
      </c>
      <c r="J545" s="201">
        <v>434.9</v>
      </c>
    </row>
    <row r="546" spans="1:13" ht="105">
      <c r="A546" s="278">
        <v>530</v>
      </c>
      <c r="B546" s="122" t="s">
        <v>374</v>
      </c>
      <c r="C546" s="43">
        <v>951</v>
      </c>
      <c r="D546" s="43" t="s">
        <v>121</v>
      </c>
      <c r="E546" s="43" t="s">
        <v>210</v>
      </c>
      <c r="F546" s="42"/>
      <c r="G546" s="39">
        <f>G547</f>
        <v>34336.880000000005</v>
      </c>
      <c r="H546" s="39">
        <f t="shared" ref="H546:I547" si="238">H547</f>
        <v>35227.1</v>
      </c>
      <c r="I546" s="39">
        <f t="shared" si="238"/>
        <v>35227.1</v>
      </c>
    </row>
    <row r="547" spans="1:13" ht="30">
      <c r="A547" s="278">
        <v>531</v>
      </c>
      <c r="B547" s="102" t="s">
        <v>52</v>
      </c>
      <c r="C547" s="43">
        <v>951</v>
      </c>
      <c r="D547" s="43" t="s">
        <v>121</v>
      </c>
      <c r="E547" s="43" t="s">
        <v>210</v>
      </c>
      <c r="F547" s="42">
        <v>600</v>
      </c>
      <c r="G547" s="39">
        <f>G548</f>
        <v>34336.880000000005</v>
      </c>
      <c r="H547" s="39">
        <f t="shared" si="238"/>
        <v>35227.1</v>
      </c>
      <c r="I547" s="39">
        <f t="shared" si="238"/>
        <v>35227.1</v>
      </c>
    </row>
    <row r="548" spans="1:13">
      <c r="A548" s="278">
        <v>532</v>
      </c>
      <c r="B548" s="102" t="s">
        <v>70</v>
      </c>
      <c r="C548" s="43">
        <v>951</v>
      </c>
      <c r="D548" s="43" t="s">
        <v>121</v>
      </c>
      <c r="E548" s="43" t="s">
        <v>210</v>
      </c>
      <c r="F548" s="42">
        <v>610</v>
      </c>
      <c r="G548" s="39">
        <f>32132.9+2203.98</f>
        <v>34336.880000000005</v>
      </c>
      <c r="H548" s="39">
        <f>32132.9+3094.2</f>
        <v>35227.1</v>
      </c>
      <c r="I548" s="39">
        <f>32132.9+3094.2</f>
        <v>35227.1</v>
      </c>
      <c r="J548" s="201">
        <v>2203.98</v>
      </c>
      <c r="K548" s="201">
        <v>3094.2</v>
      </c>
      <c r="L548" s="201">
        <v>3094.2</v>
      </c>
    </row>
    <row r="549" spans="1:13" s="98" customFormat="1" ht="60">
      <c r="A549" s="278">
        <v>533</v>
      </c>
      <c r="B549" s="182" t="s">
        <v>409</v>
      </c>
      <c r="C549" s="179" t="s">
        <v>174</v>
      </c>
      <c r="D549" s="179" t="s">
        <v>121</v>
      </c>
      <c r="E549" s="179" t="s">
        <v>410</v>
      </c>
      <c r="F549" s="176"/>
      <c r="G549" s="39">
        <f>G550</f>
        <v>1215.79</v>
      </c>
      <c r="H549" s="39">
        <f t="shared" ref="H549:I550" si="239">H550</f>
        <v>1360.98</v>
      </c>
      <c r="I549" s="39">
        <f t="shared" si="239"/>
        <v>1555.4</v>
      </c>
      <c r="J549" s="110"/>
      <c r="K549" s="110"/>
      <c r="L549" s="110"/>
    </row>
    <row r="550" spans="1:13" s="98" customFormat="1" ht="30">
      <c r="A550" s="278">
        <v>534</v>
      </c>
      <c r="B550" s="181" t="s">
        <v>52</v>
      </c>
      <c r="C550" s="179" t="s">
        <v>174</v>
      </c>
      <c r="D550" s="179" t="s">
        <v>121</v>
      </c>
      <c r="E550" s="179" t="s">
        <v>410</v>
      </c>
      <c r="F550" s="176">
        <v>600</v>
      </c>
      <c r="G550" s="39">
        <f>G551</f>
        <v>1215.79</v>
      </c>
      <c r="H550" s="39">
        <f t="shared" si="239"/>
        <v>1360.98</v>
      </c>
      <c r="I550" s="39">
        <f t="shared" si="239"/>
        <v>1555.4</v>
      </c>
      <c r="J550" s="110"/>
      <c r="K550" s="110"/>
      <c r="L550" s="110"/>
    </row>
    <row r="551" spans="1:13" s="98" customFormat="1">
      <c r="A551" s="278">
        <v>535</v>
      </c>
      <c r="B551" s="181" t="s">
        <v>70</v>
      </c>
      <c r="C551" s="179" t="s">
        <v>174</v>
      </c>
      <c r="D551" s="179" t="s">
        <v>121</v>
      </c>
      <c r="E551" s="179" t="s">
        <v>410</v>
      </c>
      <c r="F551" s="176">
        <v>610</v>
      </c>
      <c r="G551" s="39">
        <f>1155+57.85+2.94</f>
        <v>1215.79</v>
      </c>
      <c r="H551" s="39">
        <f>1347.5+13.48</f>
        <v>1360.98</v>
      </c>
      <c r="I551" s="39">
        <f>1540+15.4</f>
        <v>1555.4</v>
      </c>
      <c r="J551" s="110">
        <v>2.94</v>
      </c>
      <c r="K551" s="110"/>
      <c r="L551" s="110"/>
    </row>
    <row r="552" spans="1:13" ht="105">
      <c r="A552" s="278">
        <v>536</v>
      </c>
      <c r="B552" s="123" t="s">
        <v>375</v>
      </c>
      <c r="C552" s="43">
        <v>951</v>
      </c>
      <c r="D552" s="43" t="s">
        <v>121</v>
      </c>
      <c r="E552" s="43" t="s">
        <v>211</v>
      </c>
      <c r="F552" s="42"/>
      <c r="G552" s="39">
        <f>G553</f>
        <v>130421.32</v>
      </c>
      <c r="H552" s="39">
        <f t="shared" ref="H552:I553" si="240">H553</f>
        <v>131079.1</v>
      </c>
      <c r="I552" s="39">
        <f t="shared" si="240"/>
        <v>131079.1</v>
      </c>
    </row>
    <row r="553" spans="1:13" ht="30">
      <c r="A553" s="278">
        <v>537</v>
      </c>
      <c r="B553" s="102" t="s">
        <v>52</v>
      </c>
      <c r="C553" s="43">
        <v>951</v>
      </c>
      <c r="D553" s="43" t="s">
        <v>121</v>
      </c>
      <c r="E553" s="43" t="s">
        <v>211</v>
      </c>
      <c r="F553" s="42">
        <v>600</v>
      </c>
      <c r="G553" s="39">
        <f>G554</f>
        <v>130421.32</v>
      </c>
      <c r="H553" s="39">
        <f t="shared" si="240"/>
        <v>131079.1</v>
      </c>
      <c r="I553" s="39">
        <f t="shared" si="240"/>
        <v>131079.1</v>
      </c>
    </row>
    <row r="554" spans="1:13">
      <c r="A554" s="278">
        <v>538</v>
      </c>
      <c r="B554" s="102" t="s">
        <v>70</v>
      </c>
      <c r="C554" s="43">
        <v>951</v>
      </c>
      <c r="D554" s="43" t="s">
        <v>121</v>
      </c>
      <c r="E554" s="43" t="s">
        <v>211</v>
      </c>
      <c r="F554" s="42">
        <v>610</v>
      </c>
      <c r="G554" s="39">
        <f>131079.1-657.78</f>
        <v>130421.32</v>
      </c>
      <c r="H554" s="39">
        <v>131079.1</v>
      </c>
      <c r="I554" s="39">
        <v>131079.1</v>
      </c>
      <c r="J554" s="201">
        <v>-657.78</v>
      </c>
      <c r="M554" s="50"/>
    </row>
    <row r="555" spans="1:13">
      <c r="A555" s="278">
        <v>539</v>
      </c>
      <c r="B555" s="102" t="s">
        <v>327</v>
      </c>
      <c r="C555" s="43" t="s">
        <v>174</v>
      </c>
      <c r="D555" s="43" t="s">
        <v>121</v>
      </c>
      <c r="E555" s="43" t="s">
        <v>326</v>
      </c>
      <c r="F555" s="42"/>
      <c r="G555" s="39">
        <f>G556</f>
        <v>3599</v>
      </c>
      <c r="H555" s="39">
        <f t="shared" ref="H555:I556" si="241">H556</f>
        <v>0</v>
      </c>
      <c r="I555" s="39">
        <f t="shared" si="241"/>
        <v>0</v>
      </c>
      <c r="M555" s="50"/>
    </row>
    <row r="556" spans="1:13" ht="30">
      <c r="A556" s="278">
        <v>540</v>
      </c>
      <c r="B556" s="102" t="s">
        <v>52</v>
      </c>
      <c r="C556" s="43" t="s">
        <v>174</v>
      </c>
      <c r="D556" s="43" t="s">
        <v>121</v>
      </c>
      <c r="E556" s="43" t="s">
        <v>326</v>
      </c>
      <c r="F556" s="42">
        <v>600</v>
      </c>
      <c r="G556" s="39">
        <f>G557</f>
        <v>3599</v>
      </c>
      <c r="H556" s="39">
        <f t="shared" si="241"/>
        <v>0</v>
      </c>
      <c r="I556" s="39">
        <f t="shared" si="241"/>
        <v>0</v>
      </c>
      <c r="M556" s="50"/>
    </row>
    <row r="557" spans="1:13">
      <c r="A557" s="278">
        <v>541</v>
      </c>
      <c r="B557" s="102" t="s">
        <v>70</v>
      </c>
      <c r="C557" s="43" t="s">
        <v>174</v>
      </c>
      <c r="D557" s="43" t="s">
        <v>121</v>
      </c>
      <c r="E557" s="43" t="s">
        <v>326</v>
      </c>
      <c r="F557" s="42">
        <v>610</v>
      </c>
      <c r="G557" s="39">
        <v>3599</v>
      </c>
      <c r="H557" s="39">
        <v>0</v>
      </c>
      <c r="I557" s="39">
        <v>0</v>
      </c>
      <c r="M557" s="50"/>
    </row>
    <row r="558" spans="1:13">
      <c r="A558" s="278">
        <v>542</v>
      </c>
      <c r="B558" s="157" t="s">
        <v>485</v>
      </c>
      <c r="C558" s="155" t="s">
        <v>174</v>
      </c>
      <c r="D558" s="155" t="s">
        <v>121</v>
      </c>
      <c r="E558" s="155" t="s">
        <v>486</v>
      </c>
      <c r="F558" s="156"/>
      <c r="G558" s="39">
        <f>G559</f>
        <v>350</v>
      </c>
      <c r="H558" s="39">
        <f t="shared" ref="H558:I559" si="242">H559</f>
        <v>0</v>
      </c>
      <c r="I558" s="39">
        <f t="shared" si="242"/>
        <v>0</v>
      </c>
      <c r="M558" s="50"/>
    </row>
    <row r="559" spans="1:13" ht="30">
      <c r="A559" s="278">
        <v>543</v>
      </c>
      <c r="B559" s="158" t="s">
        <v>52</v>
      </c>
      <c r="C559" s="155" t="s">
        <v>174</v>
      </c>
      <c r="D559" s="155" t="s">
        <v>121</v>
      </c>
      <c r="E559" s="155" t="s">
        <v>486</v>
      </c>
      <c r="F559" s="156">
        <v>600</v>
      </c>
      <c r="G559" s="39">
        <f>G560</f>
        <v>350</v>
      </c>
      <c r="H559" s="39">
        <f t="shared" si="242"/>
        <v>0</v>
      </c>
      <c r="I559" s="39">
        <f t="shared" si="242"/>
        <v>0</v>
      </c>
      <c r="M559" s="50"/>
    </row>
    <row r="560" spans="1:13">
      <c r="A560" s="278">
        <v>544</v>
      </c>
      <c r="B560" s="158" t="s">
        <v>70</v>
      </c>
      <c r="C560" s="155" t="s">
        <v>174</v>
      </c>
      <c r="D560" s="155" t="s">
        <v>121</v>
      </c>
      <c r="E560" s="155" t="s">
        <v>486</v>
      </c>
      <c r="F560" s="156">
        <v>610</v>
      </c>
      <c r="G560" s="39">
        <v>350</v>
      </c>
      <c r="H560" s="39">
        <v>0</v>
      </c>
      <c r="I560" s="39">
        <v>0</v>
      </c>
      <c r="M560" s="50"/>
    </row>
    <row r="561" spans="1:13" ht="57.75" customHeight="1">
      <c r="A561" s="278">
        <v>545</v>
      </c>
      <c r="B561" s="210" t="s">
        <v>565</v>
      </c>
      <c r="C561" s="189" t="s">
        <v>174</v>
      </c>
      <c r="D561" s="189" t="s">
        <v>121</v>
      </c>
      <c r="E561" s="189" t="s">
        <v>531</v>
      </c>
      <c r="F561" s="188"/>
      <c r="G561" s="39">
        <f>G562</f>
        <v>5183.72</v>
      </c>
      <c r="H561" s="39">
        <f t="shared" ref="H561:I562" si="243">H562</f>
        <v>0</v>
      </c>
      <c r="I561" s="39">
        <f t="shared" si="243"/>
        <v>0</v>
      </c>
      <c r="M561" s="50"/>
    </row>
    <row r="562" spans="1:13" ht="30">
      <c r="A562" s="278">
        <v>546</v>
      </c>
      <c r="B562" s="190" t="s">
        <v>52</v>
      </c>
      <c r="C562" s="189" t="s">
        <v>174</v>
      </c>
      <c r="D562" s="189" t="s">
        <v>121</v>
      </c>
      <c r="E562" s="189" t="s">
        <v>531</v>
      </c>
      <c r="F562" s="188">
        <v>600</v>
      </c>
      <c r="G562" s="39">
        <f>G563</f>
        <v>5183.72</v>
      </c>
      <c r="H562" s="39">
        <f t="shared" si="243"/>
        <v>0</v>
      </c>
      <c r="I562" s="39">
        <f t="shared" si="243"/>
        <v>0</v>
      </c>
      <c r="M562" s="50"/>
    </row>
    <row r="563" spans="1:13">
      <c r="A563" s="278">
        <v>547</v>
      </c>
      <c r="B563" s="190" t="s">
        <v>70</v>
      </c>
      <c r="C563" s="189" t="s">
        <v>174</v>
      </c>
      <c r="D563" s="189" t="s">
        <v>121</v>
      </c>
      <c r="E563" s="225" t="s">
        <v>531</v>
      </c>
      <c r="F563" s="188">
        <v>610</v>
      </c>
      <c r="G563" s="39">
        <v>5183.72</v>
      </c>
      <c r="H563" s="39">
        <v>0</v>
      </c>
      <c r="I563" s="39">
        <v>0</v>
      </c>
      <c r="J563" s="201">
        <v>4924.53</v>
      </c>
      <c r="K563" s="110">
        <v>259.19</v>
      </c>
      <c r="M563" s="50"/>
    </row>
    <row r="564" spans="1:13" ht="60">
      <c r="A564" s="278">
        <v>548</v>
      </c>
      <c r="B564" s="210" t="s">
        <v>566</v>
      </c>
      <c r="C564" s="189" t="s">
        <v>174</v>
      </c>
      <c r="D564" s="189" t="s">
        <v>121</v>
      </c>
      <c r="E564" s="189" t="s">
        <v>524</v>
      </c>
      <c r="F564" s="188"/>
      <c r="G564" s="39">
        <f>G565</f>
        <v>8432.06</v>
      </c>
      <c r="H564" s="39">
        <f t="shared" ref="H564:I565" si="244">H565</f>
        <v>0</v>
      </c>
      <c r="I564" s="39">
        <f t="shared" si="244"/>
        <v>0</v>
      </c>
      <c r="M564" s="50"/>
    </row>
    <row r="565" spans="1:13" ht="30">
      <c r="A565" s="278">
        <v>549</v>
      </c>
      <c r="B565" s="190" t="s">
        <v>52</v>
      </c>
      <c r="C565" s="189" t="s">
        <v>174</v>
      </c>
      <c r="D565" s="189" t="s">
        <v>121</v>
      </c>
      <c r="E565" s="189" t="s">
        <v>524</v>
      </c>
      <c r="F565" s="188">
        <v>600</v>
      </c>
      <c r="G565" s="39">
        <f>G566</f>
        <v>8432.06</v>
      </c>
      <c r="H565" s="39">
        <f t="shared" si="244"/>
        <v>0</v>
      </c>
      <c r="I565" s="39">
        <f t="shared" si="244"/>
        <v>0</v>
      </c>
      <c r="J565" s="201">
        <v>7588.7</v>
      </c>
      <c r="K565" s="110">
        <v>843.36</v>
      </c>
      <c r="M565" s="50"/>
    </row>
    <row r="566" spans="1:13">
      <c r="A566" s="278">
        <v>550</v>
      </c>
      <c r="B566" s="190" t="s">
        <v>70</v>
      </c>
      <c r="C566" s="189" t="s">
        <v>174</v>
      </c>
      <c r="D566" s="189" t="s">
        <v>121</v>
      </c>
      <c r="E566" s="189" t="s">
        <v>524</v>
      </c>
      <c r="F566" s="188">
        <v>610</v>
      </c>
      <c r="G566" s="39">
        <v>8432.06</v>
      </c>
      <c r="H566" s="39">
        <v>0</v>
      </c>
      <c r="I566" s="39">
        <v>0</v>
      </c>
      <c r="M566" s="50"/>
    </row>
    <row r="567" spans="1:13" ht="75">
      <c r="A567" s="278">
        <v>551</v>
      </c>
      <c r="B567" s="210" t="s">
        <v>567</v>
      </c>
      <c r="C567" s="189" t="s">
        <v>174</v>
      </c>
      <c r="D567" s="189" t="s">
        <v>121</v>
      </c>
      <c r="E567" s="189" t="s">
        <v>526</v>
      </c>
      <c r="F567" s="188"/>
      <c r="G567" s="39">
        <f>G568</f>
        <v>0</v>
      </c>
      <c r="H567" s="39">
        <f t="shared" ref="H567:I568" si="245">H568</f>
        <v>1465.69</v>
      </c>
      <c r="I567" s="39">
        <f t="shared" si="245"/>
        <v>3053.68</v>
      </c>
      <c r="M567" s="50"/>
    </row>
    <row r="568" spans="1:13" ht="30">
      <c r="A568" s="278">
        <v>552</v>
      </c>
      <c r="B568" s="190" t="s">
        <v>52</v>
      </c>
      <c r="C568" s="189" t="s">
        <v>174</v>
      </c>
      <c r="D568" s="189" t="s">
        <v>121</v>
      </c>
      <c r="E568" s="189" t="s">
        <v>526</v>
      </c>
      <c r="F568" s="188">
        <v>600</v>
      </c>
      <c r="G568" s="39">
        <f>G569</f>
        <v>0</v>
      </c>
      <c r="H568" s="39">
        <f t="shared" si="245"/>
        <v>1465.69</v>
      </c>
      <c r="I568" s="39">
        <f t="shared" si="245"/>
        <v>3053.68</v>
      </c>
      <c r="M568" s="50"/>
    </row>
    <row r="569" spans="1:13">
      <c r="A569" s="278">
        <v>553</v>
      </c>
      <c r="B569" s="190" t="s">
        <v>70</v>
      </c>
      <c r="C569" s="189" t="s">
        <v>174</v>
      </c>
      <c r="D569" s="189" t="s">
        <v>121</v>
      </c>
      <c r="E569" s="189" t="s">
        <v>526</v>
      </c>
      <c r="F569" s="188">
        <v>610</v>
      </c>
      <c r="G569" s="39">
        <v>0</v>
      </c>
      <c r="H569" s="39">
        <v>1465.69</v>
      </c>
      <c r="I569" s="39">
        <v>3053.68</v>
      </c>
      <c r="J569" s="201">
        <v>0</v>
      </c>
      <c r="K569" s="201">
        <v>1465.69</v>
      </c>
      <c r="L569" s="201">
        <v>3053.68</v>
      </c>
      <c r="M569" s="50"/>
    </row>
    <row r="570" spans="1:13" ht="60">
      <c r="A570" s="278">
        <v>554</v>
      </c>
      <c r="B570" s="210" t="s">
        <v>568</v>
      </c>
      <c r="C570" s="189" t="s">
        <v>174</v>
      </c>
      <c r="D570" s="189" t="s">
        <v>121</v>
      </c>
      <c r="E570" s="189" t="s">
        <v>525</v>
      </c>
      <c r="F570" s="188"/>
      <c r="G570" s="39">
        <f>G571</f>
        <v>6425.95</v>
      </c>
      <c r="H570" s="39">
        <f t="shared" ref="H570:I571" si="246">H571</f>
        <v>0</v>
      </c>
      <c r="I570" s="39">
        <f t="shared" si="246"/>
        <v>2844.69</v>
      </c>
      <c r="M570" s="50"/>
    </row>
    <row r="571" spans="1:13" ht="30">
      <c r="A571" s="278">
        <v>555</v>
      </c>
      <c r="B571" s="190" t="s">
        <v>52</v>
      </c>
      <c r="C571" s="189" t="s">
        <v>174</v>
      </c>
      <c r="D571" s="189" t="s">
        <v>121</v>
      </c>
      <c r="E571" s="189" t="s">
        <v>525</v>
      </c>
      <c r="F571" s="188">
        <v>600</v>
      </c>
      <c r="G571" s="39">
        <f>G572</f>
        <v>6425.95</v>
      </c>
      <c r="H571" s="39">
        <f t="shared" si="246"/>
        <v>0</v>
      </c>
      <c r="I571" s="39">
        <f t="shared" si="246"/>
        <v>2844.69</v>
      </c>
      <c r="M571" s="50"/>
    </row>
    <row r="572" spans="1:13">
      <c r="A572" s="278">
        <v>556</v>
      </c>
      <c r="B572" s="190" t="s">
        <v>70</v>
      </c>
      <c r="C572" s="189" t="s">
        <v>174</v>
      </c>
      <c r="D572" s="189" t="s">
        <v>121</v>
      </c>
      <c r="E572" s="189" t="s">
        <v>525</v>
      </c>
      <c r="F572" s="188">
        <v>610</v>
      </c>
      <c r="G572" s="39">
        <v>6425.95</v>
      </c>
      <c r="H572" s="39">
        <v>0</v>
      </c>
      <c r="I572" s="39">
        <v>2844.69</v>
      </c>
      <c r="J572" s="201">
        <f>6425.95-128.6</f>
        <v>6297.3499999999995</v>
      </c>
      <c r="K572" s="201">
        <v>0</v>
      </c>
      <c r="L572" s="201">
        <v>2844.69</v>
      </c>
      <c r="M572" s="50">
        <v>128.6</v>
      </c>
    </row>
    <row r="573" spans="1:13">
      <c r="A573" s="278">
        <v>557</v>
      </c>
      <c r="B573" s="101" t="s">
        <v>168</v>
      </c>
      <c r="C573" s="43">
        <v>951</v>
      </c>
      <c r="D573" s="43" t="s">
        <v>176</v>
      </c>
      <c r="E573" s="42"/>
      <c r="F573" s="42"/>
      <c r="G573" s="39">
        <f>G574</f>
        <v>25656.014999999996</v>
      </c>
      <c r="H573" s="39">
        <f t="shared" ref="H573:I573" si="247">H574</f>
        <v>24650.614999999998</v>
      </c>
      <c r="I573" s="39">
        <f t="shared" si="247"/>
        <v>24650.614999999998</v>
      </c>
      <c r="M573" s="50"/>
    </row>
    <row r="574" spans="1:13" ht="30">
      <c r="A574" s="278">
        <v>558</v>
      </c>
      <c r="B574" s="115" t="s">
        <v>57</v>
      </c>
      <c r="C574" s="43" t="s">
        <v>174</v>
      </c>
      <c r="D574" s="43" t="s">
        <v>176</v>
      </c>
      <c r="E574" s="43" t="s">
        <v>193</v>
      </c>
      <c r="F574" s="42"/>
      <c r="G574" s="39">
        <f>G575+G579</f>
        <v>25656.014999999996</v>
      </c>
      <c r="H574" s="39">
        <f t="shared" ref="H574:I574" si="248">H575+H579</f>
        <v>24650.614999999998</v>
      </c>
      <c r="I574" s="39">
        <f t="shared" si="248"/>
        <v>24650.614999999998</v>
      </c>
      <c r="M574" s="50"/>
    </row>
    <row r="575" spans="1:13">
      <c r="A575" s="278">
        <v>559</v>
      </c>
      <c r="B575" s="115" t="s">
        <v>140</v>
      </c>
      <c r="C575" s="43" t="s">
        <v>174</v>
      </c>
      <c r="D575" s="43" t="s">
        <v>176</v>
      </c>
      <c r="E575" s="43" t="s">
        <v>208</v>
      </c>
      <c r="F575" s="42"/>
      <c r="G575" s="39">
        <f>G576</f>
        <v>196.19499999999999</v>
      </c>
      <c r="H575" s="39">
        <f t="shared" ref="H575:I575" si="249">H576</f>
        <v>196.19499999999999</v>
      </c>
      <c r="I575" s="39">
        <f t="shared" si="249"/>
        <v>196.19499999999999</v>
      </c>
      <c r="M575" s="50"/>
    </row>
    <row r="576" spans="1:13" ht="105">
      <c r="A576" s="278">
        <v>560</v>
      </c>
      <c r="B576" s="123" t="s">
        <v>375</v>
      </c>
      <c r="C576" s="43">
        <v>951</v>
      </c>
      <c r="D576" s="43" t="s">
        <v>176</v>
      </c>
      <c r="E576" s="43" t="s">
        <v>211</v>
      </c>
      <c r="F576" s="42"/>
      <c r="G576" s="39">
        <f>G577</f>
        <v>196.19499999999999</v>
      </c>
      <c r="H576" s="39">
        <f t="shared" ref="H576:I577" si="250">H577</f>
        <v>196.19499999999999</v>
      </c>
      <c r="I576" s="39">
        <f t="shared" si="250"/>
        <v>196.19499999999999</v>
      </c>
      <c r="M576" s="50"/>
    </row>
    <row r="577" spans="1:13" ht="30">
      <c r="A577" s="278">
        <v>561</v>
      </c>
      <c r="B577" s="102" t="s">
        <v>52</v>
      </c>
      <c r="C577" s="43">
        <v>951</v>
      </c>
      <c r="D577" s="43" t="s">
        <v>176</v>
      </c>
      <c r="E577" s="43" t="s">
        <v>211</v>
      </c>
      <c r="F577" s="42">
        <v>600</v>
      </c>
      <c r="G577" s="39">
        <f>G578</f>
        <v>196.19499999999999</v>
      </c>
      <c r="H577" s="39">
        <f t="shared" si="250"/>
        <v>196.19499999999999</v>
      </c>
      <c r="I577" s="39">
        <f t="shared" si="250"/>
        <v>196.19499999999999</v>
      </c>
      <c r="M577" s="50"/>
    </row>
    <row r="578" spans="1:13">
      <c r="A578" s="278">
        <v>562</v>
      </c>
      <c r="B578" s="102" t="s">
        <v>70</v>
      </c>
      <c r="C578" s="43">
        <v>951</v>
      </c>
      <c r="D578" s="43" t="s">
        <v>121</v>
      </c>
      <c r="E578" s="43" t="s">
        <v>211</v>
      </c>
      <c r="F578" s="42">
        <v>610</v>
      </c>
      <c r="G578" s="39">
        <f>196.195</f>
        <v>196.19499999999999</v>
      </c>
      <c r="H578" s="39">
        <f>196.195</f>
        <v>196.19499999999999</v>
      </c>
      <c r="I578" s="39">
        <f>196.195</f>
        <v>196.19499999999999</v>
      </c>
      <c r="M578" s="50"/>
    </row>
    <row r="579" spans="1:13">
      <c r="A579" s="278">
        <v>563</v>
      </c>
      <c r="B579" s="115" t="s">
        <v>141</v>
      </c>
      <c r="C579" s="43">
        <v>951</v>
      </c>
      <c r="D579" s="43" t="s">
        <v>176</v>
      </c>
      <c r="E579" s="43" t="s">
        <v>212</v>
      </c>
      <c r="F579" s="42"/>
      <c r="G579" s="39">
        <f>G580+G589+G592+G583+G586</f>
        <v>25459.819999999996</v>
      </c>
      <c r="H579" s="39">
        <f t="shared" ref="H579:I579" si="251">H580+H589+H592+H583+H586</f>
        <v>24454.42</v>
      </c>
      <c r="I579" s="39">
        <f t="shared" si="251"/>
        <v>24454.42</v>
      </c>
    </row>
    <row r="580" spans="1:13" ht="45">
      <c r="A580" s="278">
        <v>564</v>
      </c>
      <c r="B580" s="102" t="s">
        <v>383</v>
      </c>
      <c r="C580" s="43">
        <v>951</v>
      </c>
      <c r="D580" s="43" t="s">
        <v>176</v>
      </c>
      <c r="E580" s="43" t="s">
        <v>213</v>
      </c>
      <c r="F580" s="42"/>
      <c r="G580" s="39">
        <f>G581</f>
        <v>24454.42</v>
      </c>
      <c r="H580" s="39">
        <f t="shared" ref="H580:I580" si="252">H581</f>
        <v>24454.42</v>
      </c>
      <c r="I580" s="39">
        <f t="shared" si="252"/>
        <v>24454.42</v>
      </c>
    </row>
    <row r="581" spans="1:13" ht="30">
      <c r="A581" s="278">
        <v>565</v>
      </c>
      <c r="B581" s="102" t="s">
        <v>52</v>
      </c>
      <c r="C581" s="43">
        <v>951</v>
      </c>
      <c r="D581" s="43" t="s">
        <v>176</v>
      </c>
      <c r="E581" s="43" t="s">
        <v>213</v>
      </c>
      <c r="F581" s="42">
        <v>600</v>
      </c>
      <c r="G581" s="39">
        <f>G582</f>
        <v>24454.42</v>
      </c>
      <c r="H581" s="39">
        <f t="shared" ref="H581:I581" si="253">H582</f>
        <v>24454.42</v>
      </c>
      <c r="I581" s="39">
        <f t="shared" si="253"/>
        <v>24454.42</v>
      </c>
    </row>
    <row r="582" spans="1:13">
      <c r="A582" s="278">
        <v>566</v>
      </c>
      <c r="B582" s="102" t="s">
        <v>70</v>
      </c>
      <c r="C582" s="43">
        <v>951</v>
      </c>
      <c r="D582" s="43" t="s">
        <v>176</v>
      </c>
      <c r="E582" s="43" t="s">
        <v>213</v>
      </c>
      <c r="F582" s="42">
        <v>610</v>
      </c>
      <c r="G582" s="39">
        <f>24454.42</f>
        <v>24454.42</v>
      </c>
      <c r="H582" s="39">
        <v>24454.42</v>
      </c>
      <c r="I582" s="39">
        <v>24454.42</v>
      </c>
      <c r="J582" s="240"/>
    </row>
    <row r="583" spans="1:13" ht="30">
      <c r="A583" s="278">
        <v>567</v>
      </c>
      <c r="B583" s="190" t="s">
        <v>519</v>
      </c>
      <c r="C583" s="189" t="s">
        <v>174</v>
      </c>
      <c r="D583" s="189" t="s">
        <v>176</v>
      </c>
      <c r="E583" s="189" t="s">
        <v>527</v>
      </c>
      <c r="F583" s="188"/>
      <c r="G583" s="39">
        <f>G584</f>
        <v>327.8</v>
      </c>
      <c r="H583" s="39">
        <f t="shared" ref="H583:I584" si="254">H584</f>
        <v>0</v>
      </c>
      <c r="I583" s="39">
        <f t="shared" si="254"/>
        <v>0</v>
      </c>
    </row>
    <row r="584" spans="1:13" ht="30">
      <c r="A584" s="278">
        <v>568</v>
      </c>
      <c r="B584" s="190" t="s">
        <v>52</v>
      </c>
      <c r="C584" s="189" t="s">
        <v>174</v>
      </c>
      <c r="D584" s="189" t="s">
        <v>176</v>
      </c>
      <c r="E584" s="189" t="s">
        <v>527</v>
      </c>
      <c r="F584" s="188">
        <v>600</v>
      </c>
      <c r="G584" s="39">
        <f>G585</f>
        <v>327.8</v>
      </c>
      <c r="H584" s="39">
        <f t="shared" si="254"/>
        <v>0</v>
      </c>
      <c r="I584" s="39">
        <f t="shared" si="254"/>
        <v>0</v>
      </c>
    </row>
    <row r="585" spans="1:13">
      <c r="A585" s="278">
        <v>569</v>
      </c>
      <c r="B585" s="190" t="s">
        <v>70</v>
      </c>
      <c r="C585" s="189" t="s">
        <v>174</v>
      </c>
      <c r="D585" s="189" t="s">
        <v>176</v>
      </c>
      <c r="E585" s="189" t="s">
        <v>527</v>
      </c>
      <c r="F585" s="188">
        <v>610</v>
      </c>
      <c r="G585" s="39">
        <v>327.8</v>
      </c>
      <c r="H585" s="39">
        <v>0</v>
      </c>
      <c r="I585" s="39">
        <v>0</v>
      </c>
      <c r="J585" s="201">
        <v>327.8</v>
      </c>
    </row>
    <row r="586" spans="1:13" ht="45">
      <c r="A586" s="278">
        <v>570</v>
      </c>
      <c r="B586" s="210" t="s">
        <v>569</v>
      </c>
      <c r="C586" s="189" t="s">
        <v>174</v>
      </c>
      <c r="D586" s="189" t="s">
        <v>176</v>
      </c>
      <c r="E586" s="189" t="s">
        <v>528</v>
      </c>
      <c r="F586" s="188"/>
      <c r="G586" s="39">
        <f>G587</f>
        <v>23.5</v>
      </c>
      <c r="H586" s="39">
        <f t="shared" ref="H586:I586" si="255">-H587</f>
        <v>0</v>
      </c>
      <c r="I586" s="39">
        <f t="shared" si="255"/>
        <v>0</v>
      </c>
    </row>
    <row r="587" spans="1:13" ht="30">
      <c r="A587" s="278">
        <v>571</v>
      </c>
      <c r="B587" s="190" t="s">
        <v>52</v>
      </c>
      <c r="C587" s="189" t="s">
        <v>174</v>
      </c>
      <c r="D587" s="189" t="s">
        <v>176</v>
      </c>
      <c r="E587" s="189" t="s">
        <v>528</v>
      </c>
      <c r="F587" s="188">
        <v>600</v>
      </c>
      <c r="G587" s="39">
        <f>G588</f>
        <v>23.5</v>
      </c>
      <c r="H587" s="39">
        <f t="shared" ref="H587:I587" si="256">H588</f>
        <v>0</v>
      </c>
      <c r="I587" s="39">
        <f t="shared" si="256"/>
        <v>0</v>
      </c>
    </row>
    <row r="588" spans="1:13">
      <c r="A588" s="278">
        <v>572</v>
      </c>
      <c r="B588" s="190" t="s">
        <v>70</v>
      </c>
      <c r="C588" s="189" t="s">
        <v>174</v>
      </c>
      <c r="D588" s="189" t="s">
        <v>176</v>
      </c>
      <c r="E588" s="189" t="s">
        <v>528</v>
      </c>
      <c r="F588" s="188">
        <v>610</v>
      </c>
      <c r="G588" s="39">
        <v>23.5</v>
      </c>
      <c r="H588" s="39">
        <v>0</v>
      </c>
      <c r="I588" s="39">
        <v>0</v>
      </c>
      <c r="J588" s="201">
        <v>23.5</v>
      </c>
    </row>
    <row r="589" spans="1:13" ht="45">
      <c r="A589" s="278">
        <v>573</v>
      </c>
      <c r="B589" s="101" t="s">
        <v>364</v>
      </c>
      <c r="C589" s="43" t="s">
        <v>174</v>
      </c>
      <c r="D589" s="43" t="s">
        <v>176</v>
      </c>
      <c r="E589" s="43" t="s">
        <v>381</v>
      </c>
      <c r="F589" s="42"/>
      <c r="G589" s="39">
        <f>G590</f>
        <v>467.1</v>
      </c>
      <c r="H589" s="39">
        <f t="shared" ref="H589:I590" si="257">H590</f>
        <v>0</v>
      </c>
      <c r="I589" s="39">
        <f t="shared" si="257"/>
        <v>0</v>
      </c>
    </row>
    <row r="590" spans="1:13" ht="30">
      <c r="A590" s="278">
        <v>574</v>
      </c>
      <c r="B590" s="102" t="s">
        <v>52</v>
      </c>
      <c r="C590" s="43" t="s">
        <v>174</v>
      </c>
      <c r="D590" s="43" t="s">
        <v>176</v>
      </c>
      <c r="E590" s="43" t="s">
        <v>381</v>
      </c>
      <c r="F590" s="42">
        <v>600</v>
      </c>
      <c r="G590" s="39">
        <f>G591</f>
        <v>467.1</v>
      </c>
      <c r="H590" s="39">
        <f t="shared" si="257"/>
        <v>0</v>
      </c>
      <c r="I590" s="39">
        <f t="shared" si="257"/>
        <v>0</v>
      </c>
    </row>
    <row r="591" spans="1:13">
      <c r="A591" s="278">
        <v>575</v>
      </c>
      <c r="B591" s="102" t="s">
        <v>70</v>
      </c>
      <c r="C591" s="43" t="s">
        <v>174</v>
      </c>
      <c r="D591" s="43" t="s">
        <v>176</v>
      </c>
      <c r="E591" s="43" t="s">
        <v>381</v>
      </c>
      <c r="F591" s="42">
        <v>610</v>
      </c>
      <c r="G591" s="39">
        <v>467.1</v>
      </c>
      <c r="H591" s="39">
        <v>0</v>
      </c>
      <c r="I591" s="39">
        <v>0</v>
      </c>
    </row>
    <row r="592" spans="1:13">
      <c r="A592" s="278">
        <v>576</v>
      </c>
      <c r="B592" s="102" t="s">
        <v>482</v>
      </c>
      <c r="C592" s="43" t="s">
        <v>174</v>
      </c>
      <c r="D592" s="43" t="s">
        <v>176</v>
      </c>
      <c r="E592" s="43" t="s">
        <v>481</v>
      </c>
      <c r="F592" s="42"/>
      <c r="G592" s="39">
        <f>G593</f>
        <v>187</v>
      </c>
      <c r="H592" s="39">
        <f t="shared" ref="H592:I593" si="258">H593</f>
        <v>0</v>
      </c>
      <c r="I592" s="39">
        <f t="shared" si="258"/>
        <v>0</v>
      </c>
    </row>
    <row r="593" spans="1:10" ht="30">
      <c r="A593" s="278">
        <v>577</v>
      </c>
      <c r="B593" s="102" t="s">
        <v>52</v>
      </c>
      <c r="C593" s="43" t="s">
        <v>174</v>
      </c>
      <c r="D593" s="43" t="s">
        <v>176</v>
      </c>
      <c r="E593" s="43" t="s">
        <v>481</v>
      </c>
      <c r="F593" s="42">
        <v>600</v>
      </c>
      <c r="G593" s="39">
        <f>G594</f>
        <v>187</v>
      </c>
      <c r="H593" s="39">
        <f t="shared" si="258"/>
        <v>0</v>
      </c>
      <c r="I593" s="39">
        <f t="shared" si="258"/>
        <v>0</v>
      </c>
    </row>
    <row r="594" spans="1:10">
      <c r="A594" s="278">
        <v>578</v>
      </c>
      <c r="B594" s="102" t="s">
        <v>70</v>
      </c>
      <c r="C594" s="43" t="s">
        <v>174</v>
      </c>
      <c r="D594" s="43" t="s">
        <v>176</v>
      </c>
      <c r="E594" s="43" t="s">
        <v>481</v>
      </c>
      <c r="F594" s="42">
        <v>610</v>
      </c>
      <c r="G594" s="39">
        <v>187</v>
      </c>
      <c r="H594" s="39">
        <v>0</v>
      </c>
      <c r="I594" s="39">
        <v>0</v>
      </c>
    </row>
    <row r="595" spans="1:10">
      <c r="A595" s="278">
        <v>579</v>
      </c>
      <c r="B595" s="102" t="s">
        <v>56</v>
      </c>
      <c r="C595" s="43">
        <v>951</v>
      </c>
      <c r="D595" s="43" t="s">
        <v>123</v>
      </c>
      <c r="E595" s="42"/>
      <c r="F595" s="42"/>
      <c r="G595" s="39">
        <f>G596</f>
        <v>19669.539999999997</v>
      </c>
      <c r="H595" s="39">
        <f t="shared" ref="H595:I595" si="259">H596</f>
        <v>18731.5</v>
      </c>
      <c r="I595" s="39">
        <f t="shared" si="259"/>
        <v>18731.5</v>
      </c>
    </row>
    <row r="596" spans="1:10" ht="30">
      <c r="A596" s="278">
        <v>580</v>
      </c>
      <c r="B596" s="115" t="s">
        <v>57</v>
      </c>
      <c r="C596" s="43">
        <v>951</v>
      </c>
      <c r="D596" s="43" t="s">
        <v>123</v>
      </c>
      <c r="E596" s="43" t="s">
        <v>193</v>
      </c>
      <c r="F596" s="42"/>
      <c r="G596" s="39">
        <f>G597</f>
        <v>19669.539999999997</v>
      </c>
      <c r="H596" s="39">
        <f t="shared" ref="H596:I596" si="260">H597</f>
        <v>18731.5</v>
      </c>
      <c r="I596" s="39">
        <f t="shared" si="260"/>
        <v>18731.5</v>
      </c>
    </row>
    <row r="597" spans="1:10">
      <c r="A597" s="278">
        <v>581</v>
      </c>
      <c r="B597" s="115" t="s">
        <v>58</v>
      </c>
      <c r="C597" s="43">
        <v>951</v>
      </c>
      <c r="D597" s="43" t="s">
        <v>123</v>
      </c>
      <c r="E597" s="43" t="s">
        <v>194</v>
      </c>
      <c r="F597" s="42"/>
      <c r="G597" s="39">
        <f>G598+G609+G606</f>
        <v>19669.539999999997</v>
      </c>
      <c r="H597" s="39">
        <f t="shared" ref="H597:I597" si="261">H598+H609+H606</f>
        <v>18731.5</v>
      </c>
      <c r="I597" s="39">
        <f t="shared" si="261"/>
        <v>18731.5</v>
      </c>
    </row>
    <row r="598" spans="1:10" ht="45">
      <c r="A598" s="278">
        <v>582</v>
      </c>
      <c r="B598" s="115" t="s">
        <v>376</v>
      </c>
      <c r="C598" s="43">
        <v>951</v>
      </c>
      <c r="D598" s="43" t="s">
        <v>123</v>
      </c>
      <c r="E598" s="43" t="s">
        <v>214</v>
      </c>
      <c r="F598" s="42"/>
      <c r="G598" s="39">
        <f>G599+G601+G603</f>
        <v>18731.5</v>
      </c>
      <c r="H598" s="39">
        <f t="shared" ref="H598:I598" si="262">H599+H601+H603</f>
        <v>18731.5</v>
      </c>
      <c r="I598" s="39">
        <f t="shared" si="262"/>
        <v>18731.5</v>
      </c>
    </row>
    <row r="599" spans="1:10" ht="45">
      <c r="A599" s="278">
        <v>583</v>
      </c>
      <c r="B599" s="102" t="s">
        <v>17</v>
      </c>
      <c r="C599" s="43">
        <v>951</v>
      </c>
      <c r="D599" s="43" t="s">
        <v>123</v>
      </c>
      <c r="E599" s="43" t="s">
        <v>214</v>
      </c>
      <c r="F599" s="42">
        <v>100</v>
      </c>
      <c r="G599" s="39">
        <f>G600</f>
        <v>15705.25</v>
      </c>
      <c r="H599" s="39">
        <f t="shared" ref="H599:I599" si="263">H600</f>
        <v>15705.25</v>
      </c>
      <c r="I599" s="39">
        <f t="shared" si="263"/>
        <v>15705.25</v>
      </c>
    </row>
    <row r="600" spans="1:10">
      <c r="A600" s="278">
        <v>584</v>
      </c>
      <c r="B600" s="102" t="s">
        <v>66</v>
      </c>
      <c r="C600" s="43">
        <v>951</v>
      </c>
      <c r="D600" s="43" t="s">
        <v>123</v>
      </c>
      <c r="E600" s="43" t="s">
        <v>214</v>
      </c>
      <c r="F600" s="42">
        <v>110</v>
      </c>
      <c r="G600" s="39">
        <v>15705.25</v>
      </c>
      <c r="H600" s="39">
        <v>15705.25</v>
      </c>
      <c r="I600" s="39">
        <v>15705.25</v>
      </c>
    </row>
    <row r="601" spans="1:10">
      <c r="A601" s="278">
        <v>585</v>
      </c>
      <c r="B601" s="102" t="s">
        <v>22</v>
      </c>
      <c r="C601" s="43">
        <v>951</v>
      </c>
      <c r="D601" s="43" t="s">
        <v>123</v>
      </c>
      <c r="E601" s="43" t="s">
        <v>214</v>
      </c>
      <c r="F601" s="42">
        <v>200</v>
      </c>
      <c r="G601" s="39">
        <f>G602</f>
        <v>2979.68</v>
      </c>
      <c r="H601" s="39">
        <f t="shared" ref="H601:I601" si="264">H602</f>
        <v>3011.25</v>
      </c>
      <c r="I601" s="39">
        <f t="shared" si="264"/>
        <v>3011.25</v>
      </c>
    </row>
    <row r="602" spans="1:10">
      <c r="A602" s="278">
        <v>586</v>
      </c>
      <c r="B602" s="102" t="s">
        <v>23</v>
      </c>
      <c r="C602" s="43">
        <v>951</v>
      </c>
      <c r="D602" s="43" t="s">
        <v>123</v>
      </c>
      <c r="E602" s="43" t="s">
        <v>214</v>
      </c>
      <c r="F602" s="42">
        <v>240</v>
      </c>
      <c r="G602" s="39">
        <f>3011.25-31.57</f>
        <v>2979.68</v>
      </c>
      <c r="H602" s="39">
        <v>3011.25</v>
      </c>
      <c r="I602" s="39">
        <v>3011.25</v>
      </c>
      <c r="J602" s="110">
        <v>-31.57</v>
      </c>
    </row>
    <row r="603" spans="1:10">
      <c r="A603" s="278">
        <v>587</v>
      </c>
      <c r="B603" s="102" t="s">
        <v>34</v>
      </c>
      <c r="C603" s="43">
        <v>951</v>
      </c>
      <c r="D603" s="43" t="s">
        <v>123</v>
      </c>
      <c r="E603" s="43" t="s">
        <v>214</v>
      </c>
      <c r="F603" s="42">
        <v>800</v>
      </c>
      <c r="G603" s="39">
        <f>G604+G605</f>
        <v>46.57</v>
      </c>
      <c r="H603" s="39">
        <f>H604+H605</f>
        <v>15</v>
      </c>
      <c r="I603" s="39">
        <f>I604+I605</f>
        <v>15</v>
      </c>
    </row>
    <row r="604" spans="1:10">
      <c r="A604" s="278">
        <v>588</v>
      </c>
      <c r="B604" s="41" t="s">
        <v>40</v>
      </c>
      <c r="C604" s="43">
        <v>951</v>
      </c>
      <c r="D604" s="43" t="s">
        <v>123</v>
      </c>
      <c r="E604" s="43" t="s">
        <v>214</v>
      </c>
      <c r="F604" s="42">
        <v>830</v>
      </c>
      <c r="G604" s="39">
        <v>1</v>
      </c>
      <c r="H604" s="39">
        <v>1</v>
      </c>
      <c r="I604" s="39">
        <v>1</v>
      </c>
    </row>
    <row r="605" spans="1:10">
      <c r="A605" s="278">
        <v>589</v>
      </c>
      <c r="B605" s="102" t="s">
        <v>83</v>
      </c>
      <c r="C605" s="43">
        <v>951</v>
      </c>
      <c r="D605" s="43" t="s">
        <v>123</v>
      </c>
      <c r="E605" s="43" t="s">
        <v>214</v>
      </c>
      <c r="F605" s="42">
        <v>850</v>
      </c>
      <c r="G605" s="39">
        <f>14+31.57</f>
        <v>45.57</v>
      </c>
      <c r="H605" s="39">
        <v>14</v>
      </c>
      <c r="I605" s="39">
        <v>14</v>
      </c>
      <c r="J605" s="110">
        <v>31.57</v>
      </c>
    </row>
    <row r="606" spans="1:10" ht="30">
      <c r="A606" s="278">
        <v>590</v>
      </c>
      <c r="B606" s="190" t="s">
        <v>519</v>
      </c>
      <c r="C606" s="189" t="s">
        <v>174</v>
      </c>
      <c r="D606" s="189" t="s">
        <v>123</v>
      </c>
      <c r="E606" s="189" t="s">
        <v>529</v>
      </c>
      <c r="F606" s="188"/>
      <c r="G606" s="39">
        <f>G607</f>
        <v>794.67</v>
      </c>
      <c r="H606" s="39">
        <f t="shared" ref="H606:I607" si="265">H607</f>
        <v>0</v>
      </c>
      <c r="I606" s="39">
        <f t="shared" si="265"/>
        <v>0</v>
      </c>
    </row>
    <row r="607" spans="1:10" ht="45">
      <c r="A607" s="278">
        <v>591</v>
      </c>
      <c r="B607" s="190" t="s">
        <v>17</v>
      </c>
      <c r="C607" s="189" t="s">
        <v>174</v>
      </c>
      <c r="D607" s="189" t="s">
        <v>123</v>
      </c>
      <c r="E607" s="189" t="s">
        <v>529</v>
      </c>
      <c r="F607" s="188">
        <v>100</v>
      </c>
      <c r="G607" s="39">
        <f>G608</f>
        <v>794.67</v>
      </c>
      <c r="H607" s="39">
        <f t="shared" si="265"/>
        <v>0</v>
      </c>
      <c r="I607" s="39">
        <f t="shared" si="265"/>
        <v>0</v>
      </c>
    </row>
    <row r="608" spans="1:10">
      <c r="A608" s="278">
        <v>592</v>
      </c>
      <c r="B608" s="190" t="s">
        <v>66</v>
      </c>
      <c r="C608" s="189" t="s">
        <v>174</v>
      </c>
      <c r="D608" s="189" t="s">
        <v>123</v>
      </c>
      <c r="E608" s="189" t="s">
        <v>529</v>
      </c>
      <c r="F608" s="188">
        <v>110</v>
      </c>
      <c r="G608" s="39">
        <v>794.67</v>
      </c>
      <c r="H608" s="39">
        <v>0</v>
      </c>
      <c r="I608" s="39">
        <v>0</v>
      </c>
      <c r="J608" s="201">
        <v>794.67</v>
      </c>
    </row>
    <row r="609" spans="1:10" ht="45">
      <c r="A609" s="278">
        <v>593</v>
      </c>
      <c r="B609" s="101" t="s">
        <v>411</v>
      </c>
      <c r="C609" s="43" t="s">
        <v>174</v>
      </c>
      <c r="D609" s="43" t="s">
        <v>123</v>
      </c>
      <c r="E609" s="43" t="s">
        <v>382</v>
      </c>
      <c r="F609" s="42"/>
      <c r="G609" s="39">
        <f>G610</f>
        <v>143.37</v>
      </c>
      <c r="H609" s="39">
        <f t="shared" ref="H609:I609" si="266">H610</f>
        <v>0</v>
      </c>
      <c r="I609" s="39">
        <f t="shared" si="266"/>
        <v>0</v>
      </c>
    </row>
    <row r="610" spans="1:10" ht="45">
      <c r="A610" s="278">
        <v>594</v>
      </c>
      <c r="B610" s="102" t="s">
        <v>17</v>
      </c>
      <c r="C610" s="43" t="s">
        <v>174</v>
      </c>
      <c r="D610" s="43" t="s">
        <v>123</v>
      </c>
      <c r="E610" s="43" t="s">
        <v>382</v>
      </c>
      <c r="F610" s="42">
        <v>100</v>
      </c>
      <c r="G610" s="39">
        <f>G611</f>
        <v>143.37</v>
      </c>
      <c r="H610" s="39">
        <f t="shared" ref="H610:I610" si="267">H611</f>
        <v>0</v>
      </c>
      <c r="I610" s="39">
        <f t="shared" si="267"/>
        <v>0</v>
      </c>
    </row>
    <row r="611" spans="1:10">
      <c r="A611" s="278">
        <v>595</v>
      </c>
      <c r="B611" s="102" t="s">
        <v>66</v>
      </c>
      <c r="C611" s="43" t="s">
        <v>174</v>
      </c>
      <c r="D611" s="43" t="s">
        <v>123</v>
      </c>
      <c r="E611" s="43" t="s">
        <v>382</v>
      </c>
      <c r="F611" s="42">
        <v>110</v>
      </c>
      <c r="G611" s="39">
        <v>143.37</v>
      </c>
      <c r="H611" s="39">
        <v>0</v>
      </c>
      <c r="I611" s="39">
        <v>0</v>
      </c>
    </row>
    <row r="612" spans="1:10">
      <c r="A612" s="278">
        <v>596</v>
      </c>
      <c r="B612" s="117" t="s">
        <v>128</v>
      </c>
      <c r="C612" s="118" t="s">
        <v>174</v>
      </c>
      <c r="D612" s="118" t="s">
        <v>129</v>
      </c>
      <c r="E612" s="125"/>
      <c r="F612" s="42"/>
      <c r="G612" s="39">
        <f>G613+G624</f>
        <v>13740.500000000002</v>
      </c>
      <c r="H612" s="39">
        <f t="shared" ref="H612:I612" si="268">H613+H624</f>
        <v>12611.7</v>
      </c>
      <c r="I612" s="39">
        <f t="shared" si="268"/>
        <v>12611.7</v>
      </c>
    </row>
    <row r="613" spans="1:10">
      <c r="A613" s="278">
        <v>597</v>
      </c>
      <c r="B613" s="115" t="s">
        <v>81</v>
      </c>
      <c r="C613" s="118" t="s">
        <v>174</v>
      </c>
      <c r="D613" s="118" t="s">
        <v>131</v>
      </c>
      <c r="E613" s="125"/>
      <c r="F613" s="42"/>
      <c r="G613" s="39">
        <f t="shared" ref="G613:G622" si="269">G614</f>
        <v>10648.300000000001</v>
      </c>
      <c r="H613" s="39">
        <f t="shared" ref="H613:I614" si="270">H614</f>
        <v>9519.5</v>
      </c>
      <c r="I613" s="39">
        <f t="shared" si="270"/>
        <v>9519.5</v>
      </c>
    </row>
    <row r="614" spans="1:10" ht="30">
      <c r="A614" s="278">
        <v>598</v>
      </c>
      <c r="B614" s="115" t="s">
        <v>57</v>
      </c>
      <c r="C614" s="118" t="s">
        <v>174</v>
      </c>
      <c r="D614" s="118" t="s">
        <v>131</v>
      </c>
      <c r="E614" s="118" t="s">
        <v>193</v>
      </c>
      <c r="F614" s="42"/>
      <c r="G614" s="39">
        <f t="shared" si="269"/>
        <v>10648.300000000001</v>
      </c>
      <c r="H614" s="39">
        <f t="shared" si="270"/>
        <v>9519.5</v>
      </c>
      <c r="I614" s="39">
        <f t="shared" si="270"/>
        <v>9519.5</v>
      </c>
    </row>
    <row r="615" spans="1:10">
      <c r="A615" s="278">
        <v>599</v>
      </c>
      <c r="B615" s="115" t="s">
        <v>140</v>
      </c>
      <c r="C615" s="118">
        <v>951</v>
      </c>
      <c r="D615" s="118" t="s">
        <v>131</v>
      </c>
      <c r="E615" s="118" t="s">
        <v>208</v>
      </c>
      <c r="F615" s="42"/>
      <c r="G615" s="39">
        <f>G619+G616</f>
        <v>10648.300000000001</v>
      </c>
      <c r="H615" s="39">
        <f t="shared" ref="H615:I615" si="271">H619+H616</f>
        <v>9519.5</v>
      </c>
      <c r="I615" s="39">
        <f t="shared" si="271"/>
        <v>9519.5</v>
      </c>
    </row>
    <row r="616" spans="1:10" ht="60">
      <c r="A616" s="278">
        <v>600</v>
      </c>
      <c r="B616" s="206" t="s">
        <v>570</v>
      </c>
      <c r="C616" s="118" t="s">
        <v>174</v>
      </c>
      <c r="D616" s="118" t="s">
        <v>131</v>
      </c>
      <c r="E616" s="118" t="s">
        <v>530</v>
      </c>
      <c r="F616" s="188"/>
      <c r="G616" s="39">
        <f>G617</f>
        <v>2257.6</v>
      </c>
      <c r="H616" s="39">
        <f t="shared" ref="H616:I617" si="272">H617</f>
        <v>0</v>
      </c>
      <c r="I616" s="39">
        <f t="shared" si="272"/>
        <v>0</v>
      </c>
    </row>
    <row r="617" spans="1:10" ht="30">
      <c r="A617" s="278">
        <v>601</v>
      </c>
      <c r="B617" s="190" t="s">
        <v>52</v>
      </c>
      <c r="C617" s="118" t="s">
        <v>174</v>
      </c>
      <c r="D617" s="118" t="s">
        <v>131</v>
      </c>
      <c r="E617" s="118" t="s">
        <v>530</v>
      </c>
      <c r="F617" s="188">
        <v>600</v>
      </c>
      <c r="G617" s="39">
        <f>G618</f>
        <v>2257.6</v>
      </c>
      <c r="H617" s="39">
        <f t="shared" si="272"/>
        <v>0</v>
      </c>
      <c r="I617" s="39">
        <f t="shared" si="272"/>
        <v>0</v>
      </c>
    </row>
    <row r="618" spans="1:10">
      <c r="A618" s="278">
        <v>602</v>
      </c>
      <c r="B618" s="190" t="s">
        <v>70</v>
      </c>
      <c r="C618" s="118" t="s">
        <v>174</v>
      </c>
      <c r="D618" s="118" t="s">
        <v>131</v>
      </c>
      <c r="E618" s="118" t="s">
        <v>530</v>
      </c>
      <c r="F618" s="188">
        <v>610</v>
      </c>
      <c r="G618" s="39">
        <v>2257.6</v>
      </c>
      <c r="H618" s="39">
        <v>0</v>
      </c>
      <c r="I618" s="39">
        <v>0</v>
      </c>
      <c r="J618" s="201">
        <v>2257.6</v>
      </c>
    </row>
    <row r="619" spans="1:10" ht="90">
      <c r="A619" s="278">
        <v>603</v>
      </c>
      <c r="B619" s="122" t="s">
        <v>378</v>
      </c>
      <c r="C619" s="118">
        <v>951</v>
      </c>
      <c r="D619" s="118" t="s">
        <v>131</v>
      </c>
      <c r="E619" s="118" t="s">
        <v>216</v>
      </c>
      <c r="F619" s="42"/>
      <c r="G619" s="39">
        <f>G620+G622</f>
        <v>8390.7000000000007</v>
      </c>
      <c r="H619" s="39">
        <f t="shared" ref="H619:I619" si="273">H620+H622</f>
        <v>9519.5</v>
      </c>
      <c r="I619" s="39">
        <f t="shared" si="273"/>
        <v>9519.5</v>
      </c>
    </row>
    <row r="620" spans="1:10">
      <c r="A620" s="278">
        <v>604</v>
      </c>
      <c r="B620" s="102" t="s">
        <v>80</v>
      </c>
      <c r="C620" s="118">
        <v>951</v>
      </c>
      <c r="D620" s="118" t="s">
        <v>131</v>
      </c>
      <c r="E620" s="118" t="s">
        <v>216</v>
      </c>
      <c r="F620" s="42">
        <v>300</v>
      </c>
      <c r="G620" s="39">
        <f>G621</f>
        <v>97</v>
      </c>
      <c r="H620" s="39">
        <f t="shared" ref="H620:I620" si="274">H621</f>
        <v>97</v>
      </c>
      <c r="I620" s="39">
        <f t="shared" si="274"/>
        <v>97</v>
      </c>
    </row>
    <row r="621" spans="1:10">
      <c r="A621" s="278">
        <v>605</v>
      </c>
      <c r="B621" s="102" t="s">
        <v>84</v>
      </c>
      <c r="C621" s="118">
        <v>951</v>
      </c>
      <c r="D621" s="118" t="s">
        <v>131</v>
      </c>
      <c r="E621" s="118" t="s">
        <v>216</v>
      </c>
      <c r="F621" s="42">
        <v>320</v>
      </c>
      <c r="G621" s="39">
        <v>97</v>
      </c>
      <c r="H621" s="39">
        <v>97</v>
      </c>
      <c r="I621" s="39">
        <v>97</v>
      </c>
    </row>
    <row r="622" spans="1:10" ht="30">
      <c r="A622" s="278">
        <v>606</v>
      </c>
      <c r="B622" s="102" t="s">
        <v>52</v>
      </c>
      <c r="C622" s="118">
        <v>951</v>
      </c>
      <c r="D622" s="118" t="s">
        <v>131</v>
      </c>
      <c r="E622" s="118" t="s">
        <v>216</v>
      </c>
      <c r="F622" s="42">
        <v>600</v>
      </c>
      <c r="G622" s="39">
        <f t="shared" si="269"/>
        <v>8293.7000000000007</v>
      </c>
      <c r="H622" s="39">
        <f t="shared" ref="H622:I622" si="275">H623</f>
        <v>9422.5</v>
      </c>
      <c r="I622" s="39">
        <f t="shared" si="275"/>
        <v>9422.5</v>
      </c>
    </row>
    <row r="623" spans="1:10">
      <c r="A623" s="278">
        <v>607</v>
      </c>
      <c r="B623" s="102" t="s">
        <v>70</v>
      </c>
      <c r="C623" s="118">
        <v>951</v>
      </c>
      <c r="D623" s="118" t="s">
        <v>131</v>
      </c>
      <c r="E623" s="118" t="s">
        <v>216</v>
      </c>
      <c r="F623" s="42">
        <v>610</v>
      </c>
      <c r="G623" s="39">
        <f>9422.5-1128.8</f>
        <v>8293.7000000000007</v>
      </c>
      <c r="H623" s="39">
        <v>9422.5</v>
      </c>
      <c r="I623" s="39">
        <v>9422.5</v>
      </c>
      <c r="J623" s="201">
        <v>-1128.8</v>
      </c>
    </row>
    <row r="624" spans="1:10">
      <c r="A624" s="278">
        <v>608</v>
      </c>
      <c r="B624" s="101" t="s">
        <v>61</v>
      </c>
      <c r="C624" s="118" t="s">
        <v>174</v>
      </c>
      <c r="D624" s="118" t="s">
        <v>175</v>
      </c>
      <c r="E624" s="118"/>
      <c r="F624" s="42"/>
      <c r="G624" s="39">
        <f>G625</f>
        <v>3092.2000000000003</v>
      </c>
      <c r="H624" s="39">
        <f t="shared" ref="H624:I624" si="276">H625</f>
        <v>3092.2000000000003</v>
      </c>
      <c r="I624" s="39">
        <f t="shared" si="276"/>
        <v>3092.2000000000003</v>
      </c>
    </row>
    <row r="625" spans="1:10" ht="30">
      <c r="A625" s="278">
        <v>609</v>
      </c>
      <c r="B625" s="115" t="s">
        <v>57</v>
      </c>
      <c r="C625" s="118" t="s">
        <v>174</v>
      </c>
      <c r="D625" s="118" t="s">
        <v>175</v>
      </c>
      <c r="E625" s="118" t="s">
        <v>193</v>
      </c>
      <c r="F625" s="42"/>
      <c r="G625" s="39">
        <f>G626</f>
        <v>3092.2000000000003</v>
      </c>
      <c r="H625" s="39">
        <f t="shared" ref="H625:I625" si="277">H626</f>
        <v>3092.2000000000003</v>
      </c>
      <c r="I625" s="39">
        <f t="shared" si="277"/>
        <v>3092.2000000000003</v>
      </c>
    </row>
    <row r="626" spans="1:10">
      <c r="A626" s="278">
        <v>610</v>
      </c>
      <c r="B626" s="115" t="s">
        <v>58</v>
      </c>
      <c r="C626" s="118" t="s">
        <v>174</v>
      </c>
      <c r="D626" s="118" t="s">
        <v>175</v>
      </c>
      <c r="E626" s="118" t="s">
        <v>194</v>
      </c>
      <c r="F626" s="42"/>
      <c r="G626" s="39">
        <f>G627</f>
        <v>3092.2000000000003</v>
      </c>
      <c r="H626" s="39">
        <f t="shared" ref="H626:I626" si="278">H627</f>
        <v>3092.2000000000003</v>
      </c>
      <c r="I626" s="39">
        <f t="shared" si="278"/>
        <v>3092.2000000000003</v>
      </c>
    </row>
    <row r="627" spans="1:10" ht="75">
      <c r="A627" s="278">
        <v>611</v>
      </c>
      <c r="B627" s="123" t="s">
        <v>377</v>
      </c>
      <c r="C627" s="43">
        <v>951</v>
      </c>
      <c r="D627" s="43" t="s">
        <v>175</v>
      </c>
      <c r="E627" s="43" t="s">
        <v>215</v>
      </c>
      <c r="F627" s="42"/>
      <c r="G627" s="39">
        <f>G628+G630</f>
        <v>3092.2000000000003</v>
      </c>
      <c r="H627" s="39">
        <f>H628+H630</f>
        <v>3092.2000000000003</v>
      </c>
      <c r="I627" s="39">
        <f>I628+I630</f>
        <v>3092.2000000000003</v>
      </c>
    </row>
    <row r="628" spans="1:10">
      <c r="A628" s="278">
        <v>612</v>
      </c>
      <c r="B628" s="102" t="s">
        <v>80</v>
      </c>
      <c r="C628" s="43">
        <v>951</v>
      </c>
      <c r="D628" s="43" t="s">
        <v>175</v>
      </c>
      <c r="E628" s="43" t="s">
        <v>215</v>
      </c>
      <c r="F628" s="42">
        <v>300</v>
      </c>
      <c r="G628" s="39">
        <f>G629</f>
        <v>3061.28</v>
      </c>
      <c r="H628" s="39">
        <f t="shared" ref="H628:I628" si="279">H629</f>
        <v>3061.28</v>
      </c>
      <c r="I628" s="39">
        <f t="shared" si="279"/>
        <v>3061.28</v>
      </c>
    </row>
    <row r="629" spans="1:10">
      <c r="A629" s="278">
        <v>613</v>
      </c>
      <c r="B629" s="102" t="s">
        <v>84</v>
      </c>
      <c r="C629" s="43">
        <v>951</v>
      </c>
      <c r="D629" s="43" t="s">
        <v>175</v>
      </c>
      <c r="E629" s="43" t="s">
        <v>215</v>
      </c>
      <c r="F629" s="42">
        <v>320</v>
      </c>
      <c r="G629" s="39">
        <v>3061.28</v>
      </c>
      <c r="H629" s="39">
        <v>3061.28</v>
      </c>
      <c r="I629" s="39">
        <v>3061.28</v>
      </c>
    </row>
    <row r="630" spans="1:10">
      <c r="A630" s="278">
        <v>614</v>
      </c>
      <c r="B630" s="102" t="s">
        <v>22</v>
      </c>
      <c r="C630" s="43">
        <v>951</v>
      </c>
      <c r="D630" s="43" t="s">
        <v>175</v>
      </c>
      <c r="E630" s="43" t="s">
        <v>215</v>
      </c>
      <c r="F630" s="42">
        <v>200</v>
      </c>
      <c r="G630" s="39">
        <f>G631</f>
        <v>30.92</v>
      </c>
      <c r="H630" s="39">
        <f t="shared" ref="H630:I630" si="280">H631</f>
        <v>30.92</v>
      </c>
      <c r="I630" s="39">
        <f t="shared" si="280"/>
        <v>30.92</v>
      </c>
    </row>
    <row r="631" spans="1:10">
      <c r="A631" s="278">
        <v>615</v>
      </c>
      <c r="B631" s="102" t="s">
        <v>23</v>
      </c>
      <c r="C631" s="43">
        <v>951</v>
      </c>
      <c r="D631" s="43" t="s">
        <v>175</v>
      </c>
      <c r="E631" s="43" t="s">
        <v>215</v>
      </c>
      <c r="F631" s="42">
        <v>240</v>
      </c>
      <c r="G631" s="39">
        <v>30.92</v>
      </c>
      <c r="H631" s="39">
        <v>30.92</v>
      </c>
      <c r="I631" s="39">
        <v>30.92</v>
      </c>
    </row>
    <row r="632" spans="1:10" ht="33.75" customHeight="1">
      <c r="A632" s="278">
        <v>616</v>
      </c>
      <c r="B632" s="78" t="s">
        <v>246</v>
      </c>
      <c r="C632" s="73">
        <v>952</v>
      </c>
      <c r="D632" s="73" t="s">
        <v>118</v>
      </c>
      <c r="E632" s="70"/>
      <c r="F632" s="70"/>
      <c r="G632" s="71">
        <f>G633+G675+G739</f>
        <v>121276.78556000002</v>
      </c>
      <c r="H632" s="71">
        <f>H633+H675+H739</f>
        <v>114257.33</v>
      </c>
      <c r="I632" s="71">
        <f>I633+I675+I739</f>
        <v>113976.58</v>
      </c>
    </row>
    <row r="633" spans="1:10">
      <c r="A633" s="278">
        <v>617</v>
      </c>
      <c r="B633" s="117" t="s">
        <v>117</v>
      </c>
      <c r="C633" s="55">
        <v>952</v>
      </c>
      <c r="D633" s="55" t="s">
        <v>118</v>
      </c>
      <c r="E633" s="59"/>
      <c r="F633" s="59"/>
      <c r="G633" s="49">
        <f>G634+G652</f>
        <v>37630.916000000005</v>
      </c>
      <c r="H633" s="49">
        <f>H634+H652</f>
        <v>36892.81</v>
      </c>
      <c r="I633" s="49">
        <f>I634+I652</f>
        <v>36892.81</v>
      </c>
    </row>
    <row r="634" spans="1:10">
      <c r="A634" s="278">
        <v>618</v>
      </c>
      <c r="B634" s="115" t="s">
        <v>165</v>
      </c>
      <c r="C634" s="43">
        <v>952</v>
      </c>
      <c r="D634" s="43" t="s">
        <v>176</v>
      </c>
      <c r="E634" s="59"/>
      <c r="F634" s="59"/>
      <c r="G634" s="49">
        <f t="shared" ref="G634:G638" si="281">G635</f>
        <v>31499.262000000002</v>
      </c>
      <c r="H634" s="49">
        <f t="shared" ref="H634:I637" si="282">H635</f>
        <v>30460.33</v>
      </c>
      <c r="I634" s="49">
        <f t="shared" si="282"/>
        <v>30460.33</v>
      </c>
    </row>
    <row r="635" spans="1:10">
      <c r="A635" s="278">
        <v>619</v>
      </c>
      <c r="B635" s="115" t="s">
        <v>344</v>
      </c>
      <c r="C635" s="55">
        <v>952</v>
      </c>
      <c r="D635" s="55" t="s">
        <v>176</v>
      </c>
      <c r="E635" s="55" t="s">
        <v>198</v>
      </c>
      <c r="F635" s="59"/>
      <c r="G635" s="49">
        <f>G636</f>
        <v>31499.262000000002</v>
      </c>
      <c r="H635" s="49">
        <f t="shared" si="282"/>
        <v>30460.33</v>
      </c>
      <c r="I635" s="49">
        <f t="shared" si="282"/>
        <v>30460.33</v>
      </c>
    </row>
    <row r="636" spans="1:10">
      <c r="A636" s="278">
        <v>620</v>
      </c>
      <c r="B636" s="115" t="s">
        <v>69</v>
      </c>
      <c r="C636" s="55">
        <v>952</v>
      </c>
      <c r="D636" s="43" t="s">
        <v>176</v>
      </c>
      <c r="E636" s="55" t="s">
        <v>217</v>
      </c>
      <c r="F636" s="59"/>
      <c r="G636" s="39">
        <f>G637+G649+G646+G640+G643</f>
        <v>31499.262000000002</v>
      </c>
      <c r="H636" s="39">
        <f t="shared" ref="H636:I636" si="283">H637+H649+H646+H640+H643</f>
        <v>30460.33</v>
      </c>
      <c r="I636" s="39">
        <f t="shared" si="283"/>
        <v>30460.33</v>
      </c>
    </row>
    <row r="637" spans="1:10" ht="45">
      <c r="A637" s="278">
        <v>621</v>
      </c>
      <c r="B637" s="224" t="s">
        <v>384</v>
      </c>
      <c r="C637" s="55">
        <v>952</v>
      </c>
      <c r="D637" s="55" t="s">
        <v>176</v>
      </c>
      <c r="E637" s="55" t="s">
        <v>218</v>
      </c>
      <c r="F637" s="59"/>
      <c r="G637" s="39">
        <f t="shared" si="281"/>
        <v>30910.33</v>
      </c>
      <c r="H637" s="39">
        <f t="shared" si="282"/>
        <v>30460.33</v>
      </c>
      <c r="I637" s="39">
        <f t="shared" si="282"/>
        <v>30460.33</v>
      </c>
    </row>
    <row r="638" spans="1:10" ht="30">
      <c r="A638" s="278">
        <v>622</v>
      </c>
      <c r="B638" s="102" t="s">
        <v>52</v>
      </c>
      <c r="C638" s="55">
        <v>952</v>
      </c>
      <c r="D638" s="43" t="s">
        <v>176</v>
      </c>
      <c r="E638" s="55" t="s">
        <v>218</v>
      </c>
      <c r="F638" s="59">
        <v>600</v>
      </c>
      <c r="G638" s="39">
        <f t="shared" si="281"/>
        <v>30910.33</v>
      </c>
      <c r="H638" s="39">
        <f t="shared" ref="H638:I638" si="284">H639</f>
        <v>30460.33</v>
      </c>
      <c r="I638" s="39">
        <f t="shared" si="284"/>
        <v>30460.33</v>
      </c>
    </row>
    <row r="639" spans="1:10">
      <c r="A639" s="278">
        <v>623</v>
      </c>
      <c r="B639" s="102" t="s">
        <v>70</v>
      </c>
      <c r="C639" s="55">
        <v>952</v>
      </c>
      <c r="D639" s="55" t="s">
        <v>176</v>
      </c>
      <c r="E639" s="55" t="s">
        <v>218</v>
      </c>
      <c r="F639" s="59">
        <v>610</v>
      </c>
      <c r="G639" s="39">
        <f>30460.33+450</f>
        <v>30910.33</v>
      </c>
      <c r="H639" s="39">
        <v>30460.33</v>
      </c>
      <c r="I639" s="39">
        <v>30460.33</v>
      </c>
      <c r="J639" s="240">
        <v>450</v>
      </c>
    </row>
    <row r="640" spans="1:10" ht="30">
      <c r="A640" s="278">
        <v>624</v>
      </c>
      <c r="B640" s="227" t="s">
        <v>519</v>
      </c>
      <c r="C640" s="55">
        <v>952</v>
      </c>
      <c r="D640" s="55" t="s">
        <v>176</v>
      </c>
      <c r="E640" s="55" t="s">
        <v>533</v>
      </c>
      <c r="F640" s="134"/>
      <c r="G640" s="39">
        <f>G641</f>
        <v>185.11199999999999</v>
      </c>
      <c r="H640" s="39">
        <f t="shared" ref="H640:I641" si="285">H641</f>
        <v>0</v>
      </c>
      <c r="I640" s="39">
        <f t="shared" si="285"/>
        <v>0</v>
      </c>
    </row>
    <row r="641" spans="1:12" ht="30">
      <c r="A641" s="278">
        <v>625</v>
      </c>
      <c r="B641" s="190" t="s">
        <v>52</v>
      </c>
      <c r="C641" s="55">
        <v>952</v>
      </c>
      <c r="D641" s="55" t="s">
        <v>176</v>
      </c>
      <c r="E641" s="55" t="s">
        <v>533</v>
      </c>
      <c r="F641" s="134">
        <v>600</v>
      </c>
      <c r="G641" s="39">
        <f>G642</f>
        <v>185.11199999999999</v>
      </c>
      <c r="H641" s="39">
        <f t="shared" si="285"/>
        <v>0</v>
      </c>
      <c r="I641" s="39">
        <f t="shared" si="285"/>
        <v>0</v>
      </c>
    </row>
    <row r="642" spans="1:12">
      <c r="A642" s="278">
        <v>626</v>
      </c>
      <c r="B642" s="190" t="s">
        <v>70</v>
      </c>
      <c r="C642" s="55">
        <v>952</v>
      </c>
      <c r="D642" s="55" t="s">
        <v>176</v>
      </c>
      <c r="E642" s="55" t="s">
        <v>533</v>
      </c>
      <c r="F642" s="134">
        <v>610</v>
      </c>
      <c r="G642" s="39">
        <v>185.11199999999999</v>
      </c>
      <c r="H642" s="39">
        <v>0</v>
      </c>
      <c r="I642" s="39">
        <v>0</v>
      </c>
      <c r="J642" s="201">
        <v>185.11</v>
      </c>
    </row>
    <row r="643" spans="1:12" ht="45">
      <c r="A643" s="278">
        <v>627</v>
      </c>
      <c r="B643" s="226" t="s">
        <v>569</v>
      </c>
      <c r="C643" s="55">
        <v>952</v>
      </c>
      <c r="D643" s="55" t="s">
        <v>176</v>
      </c>
      <c r="E643" s="55" t="s">
        <v>534</v>
      </c>
      <c r="F643" s="134"/>
      <c r="G643" s="39">
        <f>G644</f>
        <v>79.099999999999994</v>
      </c>
      <c r="H643" s="39">
        <f t="shared" ref="H643:I644" si="286">H644</f>
        <v>0</v>
      </c>
      <c r="I643" s="39">
        <f t="shared" si="286"/>
        <v>0</v>
      </c>
      <c r="J643" s="201"/>
    </row>
    <row r="644" spans="1:12" ht="30">
      <c r="A644" s="278">
        <v>628</v>
      </c>
      <c r="B644" s="190" t="s">
        <v>52</v>
      </c>
      <c r="C644" s="55">
        <v>952</v>
      </c>
      <c r="D644" s="55" t="s">
        <v>176</v>
      </c>
      <c r="E644" s="55" t="s">
        <v>534</v>
      </c>
      <c r="F644" s="134">
        <v>600</v>
      </c>
      <c r="G644" s="39">
        <f>G645</f>
        <v>79.099999999999994</v>
      </c>
      <c r="H644" s="39">
        <f t="shared" si="286"/>
        <v>0</v>
      </c>
      <c r="I644" s="39">
        <f t="shared" si="286"/>
        <v>0</v>
      </c>
      <c r="J644" s="201"/>
    </row>
    <row r="645" spans="1:12">
      <c r="A645" s="278">
        <v>629</v>
      </c>
      <c r="B645" s="190" t="s">
        <v>70</v>
      </c>
      <c r="C645" s="55">
        <v>952</v>
      </c>
      <c r="D645" s="55" t="s">
        <v>176</v>
      </c>
      <c r="E645" s="55" t="s">
        <v>534</v>
      </c>
      <c r="F645" s="134">
        <v>610</v>
      </c>
      <c r="G645" s="39">
        <v>79.099999999999994</v>
      </c>
      <c r="H645" s="39">
        <v>0</v>
      </c>
      <c r="I645" s="39">
        <v>0</v>
      </c>
      <c r="J645" s="201">
        <v>79.099999999999994</v>
      </c>
    </row>
    <row r="646" spans="1:12" ht="45">
      <c r="A646" s="278">
        <v>630</v>
      </c>
      <c r="B646" s="101" t="s">
        <v>364</v>
      </c>
      <c r="C646" s="55" t="s">
        <v>331</v>
      </c>
      <c r="D646" s="55" t="s">
        <v>176</v>
      </c>
      <c r="E646" s="55" t="s">
        <v>406</v>
      </c>
      <c r="F646" s="109"/>
      <c r="G646" s="39">
        <f>G647</f>
        <v>322.72000000000003</v>
      </c>
      <c r="H646" s="39">
        <f t="shared" ref="H646:I647" si="287">H647</f>
        <v>0</v>
      </c>
      <c r="I646" s="39">
        <f t="shared" si="287"/>
        <v>0</v>
      </c>
    </row>
    <row r="647" spans="1:12" ht="30">
      <c r="A647" s="278">
        <v>631</v>
      </c>
      <c r="B647" s="102" t="s">
        <v>52</v>
      </c>
      <c r="C647" s="55" t="s">
        <v>331</v>
      </c>
      <c r="D647" s="55" t="s">
        <v>176</v>
      </c>
      <c r="E647" s="55" t="s">
        <v>406</v>
      </c>
      <c r="F647" s="109">
        <v>600</v>
      </c>
      <c r="G647" s="39">
        <f>G648</f>
        <v>322.72000000000003</v>
      </c>
      <c r="H647" s="39">
        <f t="shared" si="287"/>
        <v>0</v>
      </c>
      <c r="I647" s="39">
        <f t="shared" si="287"/>
        <v>0</v>
      </c>
    </row>
    <row r="648" spans="1:12">
      <c r="A648" s="278">
        <v>632</v>
      </c>
      <c r="B648" s="102" t="s">
        <v>70</v>
      </c>
      <c r="C648" s="55" t="s">
        <v>331</v>
      </c>
      <c r="D648" s="55" t="s">
        <v>176</v>
      </c>
      <c r="E648" s="55" t="s">
        <v>406</v>
      </c>
      <c r="F648" s="109">
        <v>610</v>
      </c>
      <c r="G648" s="39">
        <v>322.72000000000003</v>
      </c>
      <c r="H648" s="39">
        <v>0</v>
      </c>
      <c r="I648" s="39">
        <v>0</v>
      </c>
    </row>
    <row r="649" spans="1:12" s="98" customFormat="1" ht="45">
      <c r="A649" s="278">
        <v>633</v>
      </c>
      <c r="B649" s="182" t="s">
        <v>507</v>
      </c>
      <c r="C649" s="179" t="s">
        <v>331</v>
      </c>
      <c r="D649" s="179" t="s">
        <v>176</v>
      </c>
      <c r="E649" s="179" t="s">
        <v>505</v>
      </c>
      <c r="F649" s="176"/>
      <c r="G649" s="39">
        <f>G650</f>
        <v>2</v>
      </c>
      <c r="H649" s="39">
        <f t="shared" ref="H649:I650" si="288">H650</f>
        <v>0</v>
      </c>
      <c r="I649" s="39">
        <f t="shared" si="288"/>
        <v>0</v>
      </c>
      <c r="J649" s="110"/>
      <c r="K649" s="110"/>
      <c r="L649" s="110"/>
    </row>
    <row r="650" spans="1:12" s="98" customFormat="1" ht="30">
      <c r="A650" s="278">
        <v>634</v>
      </c>
      <c r="B650" s="181" t="s">
        <v>52</v>
      </c>
      <c r="C650" s="179" t="s">
        <v>331</v>
      </c>
      <c r="D650" s="179" t="s">
        <v>176</v>
      </c>
      <c r="E650" s="179" t="s">
        <v>505</v>
      </c>
      <c r="F650" s="176">
        <v>600</v>
      </c>
      <c r="G650" s="39">
        <f>G651</f>
        <v>2</v>
      </c>
      <c r="H650" s="39">
        <f t="shared" si="288"/>
        <v>0</v>
      </c>
      <c r="I650" s="39">
        <f t="shared" si="288"/>
        <v>0</v>
      </c>
      <c r="J650" s="110"/>
      <c r="K650" s="110"/>
      <c r="L650" s="110"/>
    </row>
    <row r="651" spans="1:12" s="98" customFormat="1">
      <c r="A651" s="278">
        <v>635</v>
      </c>
      <c r="B651" s="181" t="s">
        <v>70</v>
      </c>
      <c r="C651" s="179" t="s">
        <v>331</v>
      </c>
      <c r="D651" s="179" t="s">
        <v>176</v>
      </c>
      <c r="E651" s="179" t="s">
        <v>505</v>
      </c>
      <c r="F651" s="176">
        <v>610</v>
      </c>
      <c r="G651" s="39">
        <v>2</v>
      </c>
      <c r="H651" s="39">
        <v>0</v>
      </c>
      <c r="I651" s="39">
        <v>0</v>
      </c>
      <c r="J651" s="110"/>
      <c r="K651" s="110"/>
      <c r="L651" s="110"/>
    </row>
    <row r="652" spans="1:12" s="98" customFormat="1">
      <c r="A652" s="278">
        <v>636</v>
      </c>
      <c r="B652" s="181" t="s">
        <v>74</v>
      </c>
      <c r="C652" s="179">
        <v>952</v>
      </c>
      <c r="D652" s="179" t="s">
        <v>122</v>
      </c>
      <c r="E652" s="179" t="s">
        <v>505</v>
      </c>
      <c r="F652" s="176"/>
      <c r="G652" s="39">
        <f>G653</f>
        <v>6131.6539999999995</v>
      </c>
      <c r="H652" s="39">
        <f t="shared" ref="H652:I655" si="289">H653</f>
        <v>6432.48</v>
      </c>
      <c r="I652" s="39">
        <f t="shared" si="289"/>
        <v>6432.48</v>
      </c>
      <c r="J652" s="110"/>
      <c r="K652" s="110"/>
      <c r="L652" s="110"/>
    </row>
    <row r="653" spans="1:12">
      <c r="A653" s="278">
        <v>637</v>
      </c>
      <c r="B653" s="115" t="s">
        <v>75</v>
      </c>
      <c r="C653" s="43">
        <v>952</v>
      </c>
      <c r="D653" s="43" t="s">
        <v>122</v>
      </c>
      <c r="E653" s="55" t="s">
        <v>219</v>
      </c>
      <c r="F653" s="59"/>
      <c r="G653" s="39">
        <f>G654+G668+G671</f>
        <v>6131.6539999999995</v>
      </c>
      <c r="H653" s="39">
        <f>H654+H668+H671</f>
        <v>6432.48</v>
      </c>
      <c r="I653" s="39">
        <f>I654+I668+I671</f>
        <v>6432.48</v>
      </c>
    </row>
    <row r="654" spans="1:12">
      <c r="A654" s="278">
        <v>638</v>
      </c>
      <c r="B654" s="115" t="s">
        <v>328</v>
      </c>
      <c r="C654" s="43">
        <v>952</v>
      </c>
      <c r="D654" s="43" t="s">
        <v>122</v>
      </c>
      <c r="E654" s="55" t="s">
        <v>251</v>
      </c>
      <c r="F654" s="59"/>
      <c r="G654" s="39">
        <f>G655+G664+G661+G658</f>
        <v>6042.6539999999995</v>
      </c>
      <c r="H654" s="39">
        <f t="shared" ref="H654:I654" si="290">H655+H664+H661+H658</f>
        <v>6333.48</v>
      </c>
      <c r="I654" s="39">
        <f t="shared" si="290"/>
        <v>6333.48</v>
      </c>
    </row>
    <row r="655" spans="1:12" ht="45">
      <c r="A655" s="278">
        <v>639</v>
      </c>
      <c r="B655" s="115" t="s">
        <v>385</v>
      </c>
      <c r="C655" s="43">
        <v>952</v>
      </c>
      <c r="D655" s="43" t="s">
        <v>122</v>
      </c>
      <c r="E655" s="55" t="s">
        <v>329</v>
      </c>
      <c r="F655" s="59"/>
      <c r="G655" s="39">
        <f>G656</f>
        <v>5325.28</v>
      </c>
      <c r="H655" s="39">
        <f t="shared" si="289"/>
        <v>5936.28</v>
      </c>
      <c r="I655" s="39">
        <f t="shared" si="289"/>
        <v>5936.28</v>
      </c>
    </row>
    <row r="656" spans="1:12" ht="30">
      <c r="A656" s="278">
        <v>640</v>
      </c>
      <c r="B656" s="102" t="s">
        <v>52</v>
      </c>
      <c r="C656" s="43">
        <v>952</v>
      </c>
      <c r="D656" s="43" t="s">
        <v>122</v>
      </c>
      <c r="E656" s="55" t="s">
        <v>329</v>
      </c>
      <c r="F656" s="59">
        <v>600</v>
      </c>
      <c r="G656" s="39">
        <f>G657</f>
        <v>5325.28</v>
      </c>
      <c r="H656" s="39">
        <f t="shared" ref="H656:I656" si="291">H657</f>
        <v>5936.28</v>
      </c>
      <c r="I656" s="39">
        <f t="shared" si="291"/>
        <v>5936.28</v>
      </c>
    </row>
    <row r="657" spans="1:12">
      <c r="A657" s="278">
        <v>641</v>
      </c>
      <c r="B657" s="102" t="s">
        <v>70</v>
      </c>
      <c r="C657" s="43">
        <v>952</v>
      </c>
      <c r="D657" s="43" t="s">
        <v>122</v>
      </c>
      <c r="E657" s="55" t="s">
        <v>329</v>
      </c>
      <c r="F657" s="59">
        <v>610</v>
      </c>
      <c r="G657" s="39">
        <f>5936.28-561-50</f>
        <v>5325.28</v>
      </c>
      <c r="H657" s="39">
        <v>5936.28</v>
      </c>
      <c r="I657" s="39">
        <v>5936.28</v>
      </c>
      <c r="J657" s="240">
        <v>-561</v>
      </c>
      <c r="K657" s="240">
        <v>-50</v>
      </c>
    </row>
    <row r="658" spans="1:12" ht="30">
      <c r="A658" s="278">
        <v>642</v>
      </c>
      <c r="B658" s="190" t="s">
        <v>519</v>
      </c>
      <c r="C658" s="189">
        <v>952</v>
      </c>
      <c r="D658" s="189" t="s">
        <v>122</v>
      </c>
      <c r="E658" s="55" t="s">
        <v>535</v>
      </c>
      <c r="F658" s="134"/>
      <c r="G658" s="39">
        <f>G659</f>
        <v>267.714</v>
      </c>
      <c r="H658" s="39">
        <f t="shared" ref="H658:I659" si="292">H659</f>
        <v>0</v>
      </c>
      <c r="I658" s="39">
        <f t="shared" si="292"/>
        <v>0</v>
      </c>
    </row>
    <row r="659" spans="1:12" ht="30">
      <c r="A659" s="278">
        <v>643</v>
      </c>
      <c r="B659" s="190" t="s">
        <v>52</v>
      </c>
      <c r="C659" s="189">
        <v>952</v>
      </c>
      <c r="D659" s="189" t="s">
        <v>122</v>
      </c>
      <c r="E659" s="55" t="s">
        <v>535</v>
      </c>
      <c r="F659" s="134">
        <v>600</v>
      </c>
      <c r="G659" s="39">
        <f>G660</f>
        <v>267.714</v>
      </c>
      <c r="H659" s="39">
        <f t="shared" si="292"/>
        <v>0</v>
      </c>
      <c r="I659" s="39">
        <f t="shared" si="292"/>
        <v>0</v>
      </c>
    </row>
    <row r="660" spans="1:12">
      <c r="A660" s="278">
        <v>644</v>
      </c>
      <c r="B660" s="190" t="s">
        <v>70</v>
      </c>
      <c r="C660" s="189">
        <v>952</v>
      </c>
      <c r="D660" s="189" t="s">
        <v>122</v>
      </c>
      <c r="E660" s="55" t="s">
        <v>535</v>
      </c>
      <c r="F660" s="134">
        <v>610</v>
      </c>
      <c r="G660" s="39">
        <v>267.714</v>
      </c>
      <c r="H660" s="39">
        <v>0</v>
      </c>
      <c r="I660" s="39">
        <v>0</v>
      </c>
      <c r="J660" s="201">
        <v>267.70999999999998</v>
      </c>
    </row>
    <row r="661" spans="1:12" ht="45">
      <c r="A661" s="278">
        <v>645</v>
      </c>
      <c r="B661" s="101" t="s">
        <v>364</v>
      </c>
      <c r="C661" s="43" t="s">
        <v>331</v>
      </c>
      <c r="D661" s="43" t="s">
        <v>122</v>
      </c>
      <c r="E661" s="55" t="s">
        <v>407</v>
      </c>
      <c r="F661" s="109"/>
      <c r="G661" s="39">
        <f>G662</f>
        <v>35.86</v>
      </c>
      <c r="H661" s="39">
        <f t="shared" ref="H661:I662" si="293">H662</f>
        <v>0</v>
      </c>
      <c r="I661" s="39">
        <f t="shared" si="293"/>
        <v>0</v>
      </c>
    </row>
    <row r="662" spans="1:12" ht="30">
      <c r="A662" s="278">
        <v>646</v>
      </c>
      <c r="B662" s="102" t="s">
        <v>52</v>
      </c>
      <c r="C662" s="43" t="s">
        <v>331</v>
      </c>
      <c r="D662" s="43" t="s">
        <v>122</v>
      </c>
      <c r="E662" s="55" t="s">
        <v>407</v>
      </c>
      <c r="F662" s="109">
        <v>600</v>
      </c>
      <c r="G662" s="39">
        <f>G663</f>
        <v>35.86</v>
      </c>
      <c r="H662" s="39">
        <f t="shared" si="293"/>
        <v>0</v>
      </c>
      <c r="I662" s="39">
        <f t="shared" si="293"/>
        <v>0</v>
      </c>
    </row>
    <row r="663" spans="1:12">
      <c r="A663" s="278">
        <v>647</v>
      </c>
      <c r="B663" s="102" t="s">
        <v>70</v>
      </c>
      <c r="C663" s="43" t="s">
        <v>331</v>
      </c>
      <c r="D663" s="43" t="s">
        <v>122</v>
      </c>
      <c r="E663" s="55" t="s">
        <v>407</v>
      </c>
      <c r="F663" s="109">
        <v>610</v>
      </c>
      <c r="G663" s="39">
        <v>35.86</v>
      </c>
      <c r="H663" s="39">
        <v>0</v>
      </c>
      <c r="I663" s="39">
        <v>0</v>
      </c>
    </row>
    <row r="664" spans="1:12" s="98" customFormat="1" ht="45">
      <c r="A664" s="278">
        <v>648</v>
      </c>
      <c r="B664" s="180" t="s">
        <v>402</v>
      </c>
      <c r="C664" s="179">
        <v>952</v>
      </c>
      <c r="D664" s="179" t="s">
        <v>122</v>
      </c>
      <c r="E664" s="179" t="s">
        <v>330</v>
      </c>
      <c r="F664" s="176"/>
      <c r="G664" s="39">
        <f>G665</f>
        <v>413.8</v>
      </c>
      <c r="H664" s="39">
        <f t="shared" ref="H664:I664" si="294">H665</f>
        <v>397.2</v>
      </c>
      <c r="I664" s="39">
        <f t="shared" si="294"/>
        <v>397.2</v>
      </c>
      <c r="J664" s="110"/>
      <c r="K664" s="110"/>
      <c r="L664" s="110"/>
    </row>
    <row r="665" spans="1:12" s="98" customFormat="1" ht="30">
      <c r="A665" s="278">
        <v>649</v>
      </c>
      <c r="B665" s="181" t="s">
        <v>52</v>
      </c>
      <c r="C665" s="179">
        <v>952</v>
      </c>
      <c r="D665" s="179" t="s">
        <v>122</v>
      </c>
      <c r="E665" s="189" t="s">
        <v>330</v>
      </c>
      <c r="F665" s="176">
        <v>600</v>
      </c>
      <c r="G665" s="39">
        <f>G666</f>
        <v>413.8</v>
      </c>
      <c r="H665" s="39">
        <f t="shared" ref="H665:I665" si="295">H666</f>
        <v>397.2</v>
      </c>
      <c r="I665" s="39">
        <f t="shared" si="295"/>
        <v>397.2</v>
      </c>
      <c r="J665" s="110"/>
      <c r="K665" s="110"/>
      <c r="L665" s="110"/>
    </row>
    <row r="666" spans="1:12" s="98" customFormat="1">
      <c r="A666" s="278">
        <v>650</v>
      </c>
      <c r="B666" s="181" t="s">
        <v>70</v>
      </c>
      <c r="C666" s="179">
        <v>952</v>
      </c>
      <c r="D666" s="179" t="s">
        <v>122</v>
      </c>
      <c r="E666" s="189" t="s">
        <v>330</v>
      </c>
      <c r="F666" s="176">
        <v>610</v>
      </c>
      <c r="G666" s="39">
        <f>331+82.8</f>
        <v>413.8</v>
      </c>
      <c r="H666" s="39">
        <f>331+66.2</f>
        <v>397.2</v>
      </c>
      <c r="I666" s="39">
        <f>331+66.2</f>
        <v>397.2</v>
      </c>
      <c r="J666" s="110"/>
      <c r="K666" s="110"/>
      <c r="L666" s="110"/>
    </row>
    <row r="667" spans="1:12">
      <c r="A667" s="278">
        <v>651</v>
      </c>
      <c r="B667" s="101" t="s">
        <v>334</v>
      </c>
      <c r="C667" s="43" t="s">
        <v>331</v>
      </c>
      <c r="D667" s="43" t="s">
        <v>122</v>
      </c>
      <c r="E667" s="55" t="s">
        <v>220</v>
      </c>
      <c r="F667" s="106"/>
      <c r="G667" s="39">
        <f>G668</f>
        <v>59</v>
      </c>
      <c r="H667" s="39">
        <f t="shared" ref="H667:I669" si="296">H668</f>
        <v>69</v>
      </c>
      <c r="I667" s="39">
        <f t="shared" si="296"/>
        <v>69</v>
      </c>
    </row>
    <row r="668" spans="1:12" ht="45">
      <c r="A668" s="278">
        <v>652</v>
      </c>
      <c r="B668" s="101" t="s">
        <v>386</v>
      </c>
      <c r="C668" s="43" t="s">
        <v>331</v>
      </c>
      <c r="D668" s="43" t="s">
        <v>122</v>
      </c>
      <c r="E668" s="55" t="s">
        <v>332</v>
      </c>
      <c r="F668" s="106"/>
      <c r="G668" s="39">
        <f>G669</f>
        <v>59</v>
      </c>
      <c r="H668" s="39">
        <f t="shared" si="296"/>
        <v>69</v>
      </c>
      <c r="I668" s="39">
        <f t="shared" si="296"/>
        <v>69</v>
      </c>
    </row>
    <row r="669" spans="1:12" ht="30">
      <c r="A669" s="278">
        <v>653</v>
      </c>
      <c r="B669" s="102" t="s">
        <v>52</v>
      </c>
      <c r="C669" s="43" t="s">
        <v>331</v>
      </c>
      <c r="D669" s="43" t="s">
        <v>122</v>
      </c>
      <c r="E669" s="55" t="s">
        <v>332</v>
      </c>
      <c r="F669" s="106">
        <v>600</v>
      </c>
      <c r="G669" s="39">
        <f>G670</f>
        <v>59</v>
      </c>
      <c r="H669" s="39">
        <f t="shared" si="296"/>
        <v>69</v>
      </c>
      <c r="I669" s="39">
        <f t="shared" si="296"/>
        <v>69</v>
      </c>
    </row>
    <row r="670" spans="1:12">
      <c r="A670" s="278">
        <v>654</v>
      </c>
      <c r="B670" s="102" t="s">
        <v>70</v>
      </c>
      <c r="C670" s="43" t="s">
        <v>331</v>
      </c>
      <c r="D670" s="43" t="s">
        <v>122</v>
      </c>
      <c r="E670" s="55" t="s">
        <v>332</v>
      </c>
      <c r="F670" s="106">
        <v>610</v>
      </c>
      <c r="G670" s="39">
        <f>69-10</f>
        <v>59</v>
      </c>
      <c r="H670" s="39">
        <v>69</v>
      </c>
      <c r="I670" s="39">
        <v>69</v>
      </c>
      <c r="J670" s="240">
        <v>-10</v>
      </c>
    </row>
    <row r="671" spans="1:12" ht="30">
      <c r="A671" s="278">
        <v>655</v>
      </c>
      <c r="B671" s="101" t="s">
        <v>346</v>
      </c>
      <c r="C671" s="43" t="s">
        <v>331</v>
      </c>
      <c r="D671" s="43" t="s">
        <v>122</v>
      </c>
      <c r="E671" s="55" t="s">
        <v>252</v>
      </c>
      <c r="F671" s="106"/>
      <c r="G671" s="39">
        <f>G672</f>
        <v>30</v>
      </c>
      <c r="H671" s="39">
        <f t="shared" ref="H671:I673" si="297">H672</f>
        <v>30</v>
      </c>
      <c r="I671" s="39">
        <f t="shared" si="297"/>
        <v>30</v>
      </c>
    </row>
    <row r="672" spans="1:12" ht="90.75" customHeight="1">
      <c r="A672" s="278">
        <v>656</v>
      </c>
      <c r="B672" s="101" t="s">
        <v>387</v>
      </c>
      <c r="C672" s="43" t="s">
        <v>331</v>
      </c>
      <c r="D672" s="43" t="s">
        <v>122</v>
      </c>
      <c r="E672" s="55" t="s">
        <v>333</v>
      </c>
      <c r="F672" s="106"/>
      <c r="G672" s="39">
        <f>G673</f>
        <v>30</v>
      </c>
      <c r="H672" s="39">
        <f t="shared" si="297"/>
        <v>30</v>
      </c>
      <c r="I672" s="39">
        <f t="shared" si="297"/>
        <v>30</v>
      </c>
    </row>
    <row r="673" spans="1:10" ht="30">
      <c r="A673" s="278">
        <v>657</v>
      </c>
      <c r="B673" s="102" t="s">
        <v>52</v>
      </c>
      <c r="C673" s="43" t="s">
        <v>331</v>
      </c>
      <c r="D673" s="43" t="s">
        <v>122</v>
      </c>
      <c r="E673" s="55" t="s">
        <v>333</v>
      </c>
      <c r="F673" s="106">
        <v>600</v>
      </c>
      <c r="G673" s="39">
        <f>G674</f>
        <v>30</v>
      </c>
      <c r="H673" s="39">
        <f t="shared" si="297"/>
        <v>30</v>
      </c>
      <c r="I673" s="39">
        <f t="shared" si="297"/>
        <v>30</v>
      </c>
    </row>
    <row r="674" spans="1:10">
      <c r="A674" s="278">
        <v>658</v>
      </c>
      <c r="B674" s="102" t="s">
        <v>70</v>
      </c>
      <c r="C674" s="43" t="s">
        <v>331</v>
      </c>
      <c r="D674" s="43" t="s">
        <v>122</v>
      </c>
      <c r="E674" s="55" t="s">
        <v>333</v>
      </c>
      <c r="F674" s="106">
        <v>610</v>
      </c>
      <c r="G674" s="39">
        <v>30</v>
      </c>
      <c r="H674" s="39">
        <v>30</v>
      </c>
      <c r="I674" s="39">
        <v>30</v>
      </c>
    </row>
    <row r="675" spans="1:10">
      <c r="A675" s="278">
        <v>659</v>
      </c>
      <c r="B675" s="117" t="s">
        <v>124</v>
      </c>
      <c r="C675" s="55">
        <v>952</v>
      </c>
      <c r="D675" s="55" t="s">
        <v>125</v>
      </c>
      <c r="E675" s="59"/>
      <c r="F675" s="59"/>
      <c r="G675" s="39">
        <f>G676+G723</f>
        <v>83526.399560000005</v>
      </c>
      <c r="H675" s="39">
        <f>H676+H723</f>
        <v>77225.05</v>
      </c>
      <c r="I675" s="39">
        <f>I676+I723</f>
        <v>76944.3</v>
      </c>
    </row>
    <row r="676" spans="1:10">
      <c r="A676" s="278">
        <v>660</v>
      </c>
      <c r="B676" s="47" t="s">
        <v>71</v>
      </c>
      <c r="C676" s="55">
        <v>952</v>
      </c>
      <c r="D676" s="55" t="s">
        <v>126</v>
      </c>
      <c r="E676" s="59"/>
      <c r="F676" s="59"/>
      <c r="G676" s="39">
        <f>G677</f>
        <v>79807.62556</v>
      </c>
      <c r="H676" s="39">
        <f t="shared" ref="H676:I676" si="298">H677</f>
        <v>73393.39</v>
      </c>
      <c r="I676" s="39">
        <f t="shared" si="298"/>
        <v>73112.639999999999</v>
      </c>
    </row>
    <row r="677" spans="1:10">
      <c r="A677" s="278">
        <v>661</v>
      </c>
      <c r="B677" s="115" t="s">
        <v>344</v>
      </c>
      <c r="C677" s="55">
        <v>952</v>
      </c>
      <c r="D677" s="55" t="s">
        <v>126</v>
      </c>
      <c r="E677" s="55" t="s">
        <v>198</v>
      </c>
      <c r="F677" s="59"/>
      <c r="G677" s="39">
        <f>G678+G688+G710</f>
        <v>79807.62556</v>
      </c>
      <c r="H677" s="39">
        <f t="shared" ref="H677:I677" si="299">H678+H688+H710</f>
        <v>73393.39</v>
      </c>
      <c r="I677" s="39">
        <f t="shared" si="299"/>
        <v>73112.639999999999</v>
      </c>
    </row>
    <row r="678" spans="1:10">
      <c r="A678" s="278">
        <v>662</v>
      </c>
      <c r="B678" s="115" t="s">
        <v>72</v>
      </c>
      <c r="C678" s="55">
        <v>952</v>
      </c>
      <c r="D678" s="55" t="s">
        <v>126</v>
      </c>
      <c r="E678" s="55" t="s">
        <v>221</v>
      </c>
      <c r="F678" s="59"/>
      <c r="G678" s="39">
        <f>G679+G682+G685</f>
        <v>22248.73</v>
      </c>
      <c r="H678" s="39">
        <f t="shared" ref="H678:I678" si="300">H679+H682+H685</f>
        <v>21663.87</v>
      </c>
      <c r="I678" s="39">
        <f t="shared" si="300"/>
        <v>21663.87</v>
      </c>
    </row>
    <row r="679" spans="1:10" ht="45">
      <c r="A679" s="278">
        <v>663</v>
      </c>
      <c r="B679" s="126" t="s">
        <v>388</v>
      </c>
      <c r="C679" s="55">
        <v>952</v>
      </c>
      <c r="D679" s="55" t="s">
        <v>126</v>
      </c>
      <c r="E679" s="55" t="s">
        <v>222</v>
      </c>
      <c r="F679" s="59"/>
      <c r="G679" s="39">
        <f>G680</f>
        <v>17752.82</v>
      </c>
      <c r="H679" s="39">
        <f t="shared" ref="H679:I680" si="301">H680</f>
        <v>17752.82</v>
      </c>
      <c r="I679" s="39">
        <f t="shared" si="301"/>
        <v>17752.82</v>
      </c>
    </row>
    <row r="680" spans="1:10" ht="30">
      <c r="A680" s="278">
        <v>664</v>
      </c>
      <c r="B680" s="102" t="s">
        <v>52</v>
      </c>
      <c r="C680" s="55">
        <v>952</v>
      </c>
      <c r="D680" s="55" t="s">
        <v>126</v>
      </c>
      <c r="E680" s="55" t="s">
        <v>222</v>
      </c>
      <c r="F680" s="59">
        <v>600</v>
      </c>
      <c r="G680" s="39">
        <f>G681</f>
        <v>17752.82</v>
      </c>
      <c r="H680" s="39">
        <f t="shared" si="301"/>
        <v>17752.82</v>
      </c>
      <c r="I680" s="39">
        <f t="shared" si="301"/>
        <v>17752.82</v>
      </c>
    </row>
    <row r="681" spans="1:10">
      <c r="A681" s="278">
        <v>665</v>
      </c>
      <c r="B681" s="102" t="s">
        <v>70</v>
      </c>
      <c r="C681" s="55">
        <v>952</v>
      </c>
      <c r="D681" s="55" t="s">
        <v>126</v>
      </c>
      <c r="E681" s="55" t="s">
        <v>222</v>
      </c>
      <c r="F681" s="59">
        <v>610</v>
      </c>
      <c r="G681" s="39">
        <f>17652.82+100</f>
        <v>17752.82</v>
      </c>
      <c r="H681" s="39">
        <v>17752.82</v>
      </c>
      <c r="I681" s="39">
        <v>17752.82</v>
      </c>
      <c r="J681" s="240"/>
    </row>
    <row r="682" spans="1:10" ht="30">
      <c r="A682" s="278">
        <v>666</v>
      </c>
      <c r="B682" s="126" t="s">
        <v>389</v>
      </c>
      <c r="C682" s="55">
        <v>952</v>
      </c>
      <c r="D682" s="55" t="s">
        <v>126</v>
      </c>
      <c r="E682" s="55" t="s">
        <v>223</v>
      </c>
      <c r="F682" s="59"/>
      <c r="G682" s="39">
        <f>G683</f>
        <v>3887.05</v>
      </c>
      <c r="H682" s="39">
        <f t="shared" ref="H682:I683" si="302">H683</f>
        <v>3911.05</v>
      </c>
      <c r="I682" s="39">
        <f t="shared" si="302"/>
        <v>3911.05</v>
      </c>
    </row>
    <row r="683" spans="1:10" ht="30">
      <c r="A683" s="278">
        <v>667</v>
      </c>
      <c r="B683" s="102" t="s">
        <v>52</v>
      </c>
      <c r="C683" s="55">
        <v>952</v>
      </c>
      <c r="D683" s="55" t="s">
        <v>126</v>
      </c>
      <c r="E683" s="55" t="s">
        <v>223</v>
      </c>
      <c r="F683" s="59">
        <v>600</v>
      </c>
      <c r="G683" s="39">
        <f>G684</f>
        <v>3887.05</v>
      </c>
      <c r="H683" s="39">
        <f t="shared" si="302"/>
        <v>3911.05</v>
      </c>
      <c r="I683" s="39">
        <f t="shared" si="302"/>
        <v>3911.05</v>
      </c>
    </row>
    <row r="684" spans="1:10">
      <c r="A684" s="278">
        <v>668</v>
      </c>
      <c r="B684" s="102" t="s">
        <v>70</v>
      </c>
      <c r="C684" s="55">
        <v>952</v>
      </c>
      <c r="D684" s="55" t="s">
        <v>126</v>
      </c>
      <c r="E684" s="55" t="s">
        <v>223</v>
      </c>
      <c r="F684" s="59">
        <v>610</v>
      </c>
      <c r="G684" s="39">
        <f>3911.05-24</f>
        <v>3887.05</v>
      </c>
      <c r="H684" s="39">
        <v>3911.05</v>
      </c>
      <c r="I684" s="39">
        <v>3911.05</v>
      </c>
      <c r="J684" s="240">
        <v>-24</v>
      </c>
    </row>
    <row r="685" spans="1:10" ht="45">
      <c r="A685" s="278">
        <v>669</v>
      </c>
      <c r="B685" s="210" t="s">
        <v>569</v>
      </c>
      <c r="C685" s="55" t="s">
        <v>331</v>
      </c>
      <c r="D685" s="55" t="s">
        <v>126</v>
      </c>
      <c r="E685" s="55" t="s">
        <v>536</v>
      </c>
      <c r="F685" s="134"/>
      <c r="G685" s="39">
        <f>G686</f>
        <v>608.86</v>
      </c>
      <c r="H685" s="39">
        <f t="shared" ref="H685:I686" si="303">H686</f>
        <v>0</v>
      </c>
      <c r="I685" s="39">
        <f t="shared" si="303"/>
        <v>0</v>
      </c>
    </row>
    <row r="686" spans="1:10" ht="30">
      <c r="A686" s="278">
        <v>670</v>
      </c>
      <c r="B686" s="190" t="s">
        <v>52</v>
      </c>
      <c r="C686" s="55" t="s">
        <v>331</v>
      </c>
      <c r="D686" s="55" t="s">
        <v>126</v>
      </c>
      <c r="E686" s="55" t="s">
        <v>536</v>
      </c>
      <c r="F686" s="134">
        <v>600</v>
      </c>
      <c r="G686" s="39">
        <f>G687</f>
        <v>608.86</v>
      </c>
      <c r="H686" s="39">
        <f t="shared" si="303"/>
        <v>0</v>
      </c>
      <c r="I686" s="39">
        <f t="shared" si="303"/>
        <v>0</v>
      </c>
    </row>
    <row r="687" spans="1:10">
      <c r="A687" s="278">
        <v>671</v>
      </c>
      <c r="B687" s="190" t="s">
        <v>70</v>
      </c>
      <c r="C687" s="55" t="s">
        <v>331</v>
      </c>
      <c r="D687" s="55" t="s">
        <v>126</v>
      </c>
      <c r="E687" s="55" t="s">
        <v>536</v>
      </c>
      <c r="F687" s="134">
        <v>610</v>
      </c>
      <c r="G687" s="39">
        <v>608.86</v>
      </c>
      <c r="H687" s="39">
        <v>0</v>
      </c>
      <c r="I687" s="39">
        <v>0</v>
      </c>
      <c r="J687" s="201">
        <v>608.86</v>
      </c>
    </row>
    <row r="688" spans="1:10">
      <c r="A688" s="278">
        <v>672</v>
      </c>
      <c r="B688" s="127" t="s">
        <v>73</v>
      </c>
      <c r="C688" s="55">
        <v>952</v>
      </c>
      <c r="D688" s="55" t="s">
        <v>126</v>
      </c>
      <c r="E688" s="55" t="s">
        <v>224</v>
      </c>
      <c r="F688" s="59"/>
      <c r="G688" s="39">
        <f>G689+G695+G698+G692+G704+G707+G701</f>
        <v>56681.035559999997</v>
      </c>
      <c r="H688" s="39">
        <f t="shared" ref="H688:I688" si="304">H689+H695+H698+H692+H704+H707+H701</f>
        <v>51476.82</v>
      </c>
      <c r="I688" s="39">
        <f t="shared" si="304"/>
        <v>51210.07</v>
      </c>
    </row>
    <row r="689" spans="1:12" ht="45">
      <c r="A689" s="278">
        <v>673</v>
      </c>
      <c r="B689" s="126" t="s">
        <v>390</v>
      </c>
      <c r="C689" s="55">
        <v>952</v>
      </c>
      <c r="D689" s="55" t="s">
        <v>126</v>
      </c>
      <c r="E689" s="55" t="s">
        <v>225</v>
      </c>
      <c r="F689" s="59"/>
      <c r="G689" s="39">
        <f>G690</f>
        <v>13878.17</v>
      </c>
      <c r="H689" s="39">
        <f t="shared" ref="H689:I690" si="305">H690</f>
        <v>13925.82</v>
      </c>
      <c r="I689" s="39">
        <f t="shared" si="305"/>
        <v>13925.82</v>
      </c>
    </row>
    <row r="690" spans="1:12" ht="30">
      <c r="A690" s="278">
        <v>674</v>
      </c>
      <c r="B690" s="102" t="s">
        <v>52</v>
      </c>
      <c r="C690" s="55">
        <v>952</v>
      </c>
      <c r="D690" s="55" t="s">
        <v>126</v>
      </c>
      <c r="E690" s="55" t="s">
        <v>225</v>
      </c>
      <c r="F690" s="59">
        <v>600</v>
      </c>
      <c r="G690" s="39">
        <f>G691</f>
        <v>13878.17</v>
      </c>
      <c r="H690" s="39">
        <f t="shared" si="305"/>
        <v>13925.82</v>
      </c>
      <c r="I690" s="39">
        <f t="shared" si="305"/>
        <v>13925.82</v>
      </c>
    </row>
    <row r="691" spans="1:12">
      <c r="A691" s="278">
        <v>675</v>
      </c>
      <c r="B691" s="102" t="s">
        <v>70</v>
      </c>
      <c r="C691" s="55">
        <v>952</v>
      </c>
      <c r="D691" s="55" t="s">
        <v>126</v>
      </c>
      <c r="E691" s="55" t="s">
        <v>225</v>
      </c>
      <c r="F691" s="59">
        <v>610</v>
      </c>
      <c r="G691" s="39">
        <f>13925.82-47.65</f>
        <v>13878.17</v>
      </c>
      <c r="H691" s="39">
        <v>13925.82</v>
      </c>
      <c r="I691" s="39">
        <v>13925.82</v>
      </c>
      <c r="J691" s="240">
        <v>-47.65</v>
      </c>
    </row>
    <row r="692" spans="1:12" ht="77.25" customHeight="1">
      <c r="A692" s="278">
        <v>676</v>
      </c>
      <c r="B692" s="253" t="s">
        <v>589</v>
      </c>
      <c r="C692" s="55">
        <v>952</v>
      </c>
      <c r="D692" s="55" t="s">
        <v>126</v>
      </c>
      <c r="E692" s="55" t="s">
        <v>314</v>
      </c>
      <c r="F692" s="86"/>
      <c r="G692" s="39">
        <f>G693</f>
        <v>5410.5555599999998</v>
      </c>
      <c r="H692" s="39">
        <f t="shared" ref="H692:I693" si="306">H693</f>
        <v>5410.55</v>
      </c>
      <c r="I692" s="39">
        <f t="shared" si="306"/>
        <v>5143.8</v>
      </c>
    </row>
    <row r="693" spans="1:12" ht="30">
      <c r="A693" s="278">
        <v>677</v>
      </c>
      <c r="B693" s="102" t="s">
        <v>52</v>
      </c>
      <c r="C693" s="55">
        <v>952</v>
      </c>
      <c r="D693" s="55" t="s">
        <v>126</v>
      </c>
      <c r="E693" s="55" t="s">
        <v>314</v>
      </c>
      <c r="F693" s="86">
        <v>600</v>
      </c>
      <c r="G693" s="39">
        <f>G694</f>
        <v>5410.5555599999998</v>
      </c>
      <c r="H693" s="39">
        <f t="shared" si="306"/>
        <v>5410.55</v>
      </c>
      <c r="I693" s="39">
        <f t="shared" si="306"/>
        <v>5143.8</v>
      </c>
    </row>
    <row r="694" spans="1:12">
      <c r="A694" s="278">
        <v>678</v>
      </c>
      <c r="B694" s="102" t="s">
        <v>70</v>
      </c>
      <c r="C694" s="55">
        <v>952</v>
      </c>
      <c r="D694" s="55" t="s">
        <v>126</v>
      </c>
      <c r="E694" s="55" t="s">
        <v>314</v>
      </c>
      <c r="F694" s="86">
        <v>610</v>
      </c>
      <c r="G694" s="39">
        <f>5410.55+0.00556</f>
        <v>5410.5555599999998</v>
      </c>
      <c r="H694" s="39">
        <v>5410.55</v>
      </c>
      <c r="I694" s="39">
        <v>5143.8</v>
      </c>
      <c r="J694" s="110">
        <v>5.5599999999999998E-3</v>
      </c>
      <c r="K694" s="201">
        <v>0</v>
      </c>
      <c r="L694" s="201">
        <v>5143.8</v>
      </c>
    </row>
    <row r="695" spans="1:12" ht="45">
      <c r="A695" s="278">
        <v>679</v>
      </c>
      <c r="B695" s="126" t="s">
        <v>391</v>
      </c>
      <c r="C695" s="55">
        <v>952</v>
      </c>
      <c r="D695" s="55" t="s">
        <v>126</v>
      </c>
      <c r="E695" s="55" t="s">
        <v>226</v>
      </c>
      <c r="F695" s="59"/>
      <c r="G695" s="39">
        <f>G696</f>
        <v>19681.239999999998</v>
      </c>
      <c r="H695" s="39">
        <f t="shared" ref="H695:I696" si="307">H696</f>
        <v>19027.78</v>
      </c>
      <c r="I695" s="39">
        <f t="shared" si="307"/>
        <v>19027.78</v>
      </c>
    </row>
    <row r="696" spans="1:12" ht="30">
      <c r="A696" s="278">
        <v>680</v>
      </c>
      <c r="B696" s="102" t="s">
        <v>52</v>
      </c>
      <c r="C696" s="55">
        <v>952</v>
      </c>
      <c r="D696" s="55" t="s">
        <v>126</v>
      </c>
      <c r="E696" s="55" t="s">
        <v>226</v>
      </c>
      <c r="F696" s="59">
        <v>600</v>
      </c>
      <c r="G696" s="39">
        <f>G697</f>
        <v>19681.239999999998</v>
      </c>
      <c r="H696" s="39">
        <f t="shared" si="307"/>
        <v>19027.78</v>
      </c>
      <c r="I696" s="39">
        <f t="shared" si="307"/>
        <v>19027.78</v>
      </c>
    </row>
    <row r="697" spans="1:12">
      <c r="A697" s="278">
        <v>681</v>
      </c>
      <c r="B697" s="102" t="s">
        <v>70</v>
      </c>
      <c r="C697" s="55">
        <v>952</v>
      </c>
      <c r="D697" s="55" t="s">
        <v>126</v>
      </c>
      <c r="E697" s="55" t="s">
        <v>226</v>
      </c>
      <c r="F697" s="59">
        <v>610</v>
      </c>
      <c r="G697" s="39">
        <f>19027.78+653.46</f>
        <v>19681.239999999998</v>
      </c>
      <c r="H697" s="39">
        <v>19027.78</v>
      </c>
      <c r="I697" s="39">
        <v>19027.78</v>
      </c>
      <c r="J697" s="240">
        <v>653.46</v>
      </c>
    </row>
    <row r="698" spans="1:12" ht="45">
      <c r="A698" s="278">
        <v>682</v>
      </c>
      <c r="B698" s="126" t="s">
        <v>392</v>
      </c>
      <c r="C698" s="55">
        <v>952</v>
      </c>
      <c r="D698" s="55" t="s">
        <v>126</v>
      </c>
      <c r="E698" s="55" t="s">
        <v>227</v>
      </c>
      <c r="F698" s="59"/>
      <c r="G698" s="39">
        <f>G699</f>
        <v>16466.93</v>
      </c>
      <c r="H698" s="39">
        <f t="shared" ref="H698:I698" si="308">H699</f>
        <v>13112.67</v>
      </c>
      <c r="I698" s="39">
        <f t="shared" si="308"/>
        <v>13112.67</v>
      </c>
    </row>
    <row r="699" spans="1:12" ht="30">
      <c r="A699" s="278">
        <v>683</v>
      </c>
      <c r="B699" s="102" t="s">
        <v>52</v>
      </c>
      <c r="C699" s="55">
        <v>952</v>
      </c>
      <c r="D699" s="55" t="s">
        <v>126</v>
      </c>
      <c r="E699" s="55" t="s">
        <v>227</v>
      </c>
      <c r="F699" s="59">
        <v>600</v>
      </c>
      <c r="G699" s="39">
        <f>G700</f>
        <v>16466.93</v>
      </c>
      <c r="H699" s="39">
        <f>H700</f>
        <v>13112.67</v>
      </c>
      <c r="I699" s="39">
        <f>I700</f>
        <v>13112.67</v>
      </c>
    </row>
    <row r="700" spans="1:12">
      <c r="A700" s="278">
        <v>684</v>
      </c>
      <c r="B700" s="102" t="s">
        <v>70</v>
      </c>
      <c r="C700" s="55">
        <v>952</v>
      </c>
      <c r="D700" s="55" t="s">
        <v>126</v>
      </c>
      <c r="E700" s="55" t="s">
        <v>227</v>
      </c>
      <c r="F700" s="59">
        <v>610</v>
      </c>
      <c r="G700" s="39">
        <v>16466.93</v>
      </c>
      <c r="H700" s="39">
        <v>13112.67</v>
      </c>
      <c r="I700" s="39">
        <v>13112.67</v>
      </c>
    </row>
    <row r="701" spans="1:12" ht="45">
      <c r="A701" s="278">
        <v>685</v>
      </c>
      <c r="B701" s="210" t="s">
        <v>569</v>
      </c>
      <c r="C701" s="55" t="s">
        <v>331</v>
      </c>
      <c r="D701" s="55" t="s">
        <v>126</v>
      </c>
      <c r="E701" s="55" t="s">
        <v>537</v>
      </c>
      <c r="F701" s="134"/>
      <c r="G701" s="39">
        <f>G702</f>
        <v>1044.1400000000001</v>
      </c>
      <c r="H701" s="39">
        <f t="shared" ref="H701:I702" si="309">H702</f>
        <v>0</v>
      </c>
      <c r="I701" s="39">
        <f t="shared" si="309"/>
        <v>0</v>
      </c>
    </row>
    <row r="702" spans="1:12" ht="30">
      <c r="A702" s="278">
        <v>686</v>
      </c>
      <c r="B702" s="190" t="s">
        <v>52</v>
      </c>
      <c r="C702" s="55" t="s">
        <v>331</v>
      </c>
      <c r="D702" s="55" t="s">
        <v>126</v>
      </c>
      <c r="E702" s="55" t="s">
        <v>537</v>
      </c>
      <c r="F702" s="134">
        <v>600</v>
      </c>
      <c r="G702" s="39">
        <f>G703</f>
        <v>1044.1400000000001</v>
      </c>
      <c r="H702" s="39">
        <f t="shared" si="309"/>
        <v>0</v>
      </c>
      <c r="I702" s="39">
        <f t="shared" si="309"/>
        <v>0</v>
      </c>
    </row>
    <row r="703" spans="1:12">
      <c r="A703" s="278">
        <v>687</v>
      </c>
      <c r="B703" s="190" t="s">
        <v>70</v>
      </c>
      <c r="C703" s="55" t="s">
        <v>331</v>
      </c>
      <c r="D703" s="55" t="s">
        <v>126</v>
      </c>
      <c r="E703" s="55" t="s">
        <v>537</v>
      </c>
      <c r="F703" s="134">
        <v>610</v>
      </c>
      <c r="G703" s="39">
        <v>1044.1400000000001</v>
      </c>
      <c r="H703" s="39">
        <v>0</v>
      </c>
      <c r="I703" s="39">
        <v>0</v>
      </c>
      <c r="J703" s="201">
        <v>1044.1400000000001</v>
      </c>
    </row>
    <row r="704" spans="1:12" ht="30">
      <c r="A704" s="278">
        <v>688</v>
      </c>
      <c r="B704" s="101" t="s">
        <v>472</v>
      </c>
      <c r="C704" s="55" t="s">
        <v>331</v>
      </c>
      <c r="D704" s="55" t="s">
        <v>126</v>
      </c>
      <c r="E704" s="55" t="s">
        <v>404</v>
      </c>
      <c r="F704" s="109"/>
      <c r="G704" s="39">
        <f>G705</f>
        <v>150</v>
      </c>
      <c r="H704" s="39">
        <f t="shared" ref="H704:I705" si="310">H705</f>
        <v>0</v>
      </c>
      <c r="I704" s="39">
        <f t="shared" si="310"/>
        <v>0</v>
      </c>
    </row>
    <row r="705" spans="1:12" ht="30">
      <c r="A705" s="278">
        <v>689</v>
      </c>
      <c r="B705" s="102" t="s">
        <v>52</v>
      </c>
      <c r="C705" s="55" t="s">
        <v>331</v>
      </c>
      <c r="D705" s="55" t="s">
        <v>126</v>
      </c>
      <c r="E705" s="55" t="s">
        <v>404</v>
      </c>
      <c r="F705" s="109">
        <v>600</v>
      </c>
      <c r="G705" s="39">
        <f>G706</f>
        <v>150</v>
      </c>
      <c r="H705" s="39">
        <f t="shared" si="310"/>
        <v>0</v>
      </c>
      <c r="I705" s="39">
        <f t="shared" si="310"/>
        <v>0</v>
      </c>
    </row>
    <row r="706" spans="1:12">
      <c r="A706" s="278">
        <v>690</v>
      </c>
      <c r="B706" s="102" t="s">
        <v>70</v>
      </c>
      <c r="C706" s="55" t="s">
        <v>331</v>
      </c>
      <c r="D706" s="55" t="s">
        <v>126</v>
      </c>
      <c r="E706" s="55" t="s">
        <v>404</v>
      </c>
      <c r="F706" s="109">
        <v>610</v>
      </c>
      <c r="G706" s="39">
        <v>150</v>
      </c>
      <c r="H706" s="39">
        <v>0</v>
      </c>
      <c r="I706" s="39">
        <v>0</v>
      </c>
    </row>
    <row r="707" spans="1:12" ht="30">
      <c r="A707" s="278">
        <v>691</v>
      </c>
      <c r="B707" s="101" t="s">
        <v>403</v>
      </c>
      <c r="C707" s="55" t="s">
        <v>331</v>
      </c>
      <c r="D707" s="55" t="s">
        <v>126</v>
      </c>
      <c r="E707" s="55" t="s">
        <v>405</v>
      </c>
      <c r="F707" s="109"/>
      <c r="G707" s="39">
        <f>G708</f>
        <v>50</v>
      </c>
      <c r="H707" s="39">
        <f t="shared" ref="H707:I708" si="311">H708</f>
        <v>0</v>
      </c>
      <c r="I707" s="39">
        <f t="shared" si="311"/>
        <v>0</v>
      </c>
    </row>
    <row r="708" spans="1:12" ht="30">
      <c r="A708" s="278">
        <v>692</v>
      </c>
      <c r="B708" s="102" t="s">
        <v>52</v>
      </c>
      <c r="C708" s="55" t="s">
        <v>331</v>
      </c>
      <c r="D708" s="55" t="s">
        <v>126</v>
      </c>
      <c r="E708" s="55" t="s">
        <v>405</v>
      </c>
      <c r="F708" s="109">
        <v>600</v>
      </c>
      <c r="G708" s="39">
        <f>G709</f>
        <v>50</v>
      </c>
      <c r="H708" s="39">
        <f t="shared" si="311"/>
        <v>0</v>
      </c>
      <c r="I708" s="39">
        <f t="shared" si="311"/>
        <v>0</v>
      </c>
    </row>
    <row r="709" spans="1:12">
      <c r="A709" s="278">
        <v>693</v>
      </c>
      <c r="B709" s="102" t="s">
        <v>70</v>
      </c>
      <c r="C709" s="55" t="s">
        <v>331</v>
      </c>
      <c r="D709" s="55" t="s">
        <v>126</v>
      </c>
      <c r="E709" s="55" t="s">
        <v>405</v>
      </c>
      <c r="F709" s="109">
        <v>610</v>
      </c>
      <c r="G709" s="39">
        <f>120-70</f>
        <v>50</v>
      </c>
      <c r="H709" s="39">
        <v>0</v>
      </c>
      <c r="I709" s="39">
        <v>0</v>
      </c>
      <c r="J709" s="240">
        <v>-70</v>
      </c>
    </row>
    <row r="710" spans="1:12" ht="23.25" customHeight="1">
      <c r="A710" s="278">
        <v>694</v>
      </c>
      <c r="B710" s="115" t="s">
        <v>69</v>
      </c>
      <c r="C710" s="55">
        <v>952</v>
      </c>
      <c r="D710" s="55" t="s">
        <v>126</v>
      </c>
      <c r="E710" s="55" t="s">
        <v>217</v>
      </c>
      <c r="F710" s="86"/>
      <c r="G710" s="39">
        <f>G714+G717+G720+G711</f>
        <v>877.86</v>
      </c>
      <c r="H710" s="39">
        <f t="shared" ref="H710:I710" si="312">H714+H717+H720+H711</f>
        <v>252.7</v>
      </c>
      <c r="I710" s="39">
        <f t="shared" si="312"/>
        <v>238.7</v>
      </c>
    </row>
    <row r="711" spans="1:12" ht="65.25" customHeight="1">
      <c r="A711" s="278">
        <v>695</v>
      </c>
      <c r="B711" s="254" t="s">
        <v>588</v>
      </c>
      <c r="C711" s="55">
        <v>952</v>
      </c>
      <c r="D711" s="55" t="s">
        <v>126</v>
      </c>
      <c r="E711" s="55" t="s">
        <v>538</v>
      </c>
      <c r="F711" s="134"/>
      <c r="G711" s="39">
        <f>G712</f>
        <v>225.16</v>
      </c>
      <c r="H711" s="39">
        <f t="shared" ref="H711:I712" si="313">H712</f>
        <v>0</v>
      </c>
      <c r="I711" s="39">
        <f t="shared" si="313"/>
        <v>0</v>
      </c>
    </row>
    <row r="712" spans="1:12" ht="46.5" customHeight="1">
      <c r="A712" s="278">
        <v>696</v>
      </c>
      <c r="B712" s="129" t="s">
        <v>52</v>
      </c>
      <c r="C712" s="55">
        <v>952</v>
      </c>
      <c r="D712" s="55" t="s">
        <v>126</v>
      </c>
      <c r="E712" s="55" t="s">
        <v>538</v>
      </c>
      <c r="F712" s="134">
        <v>600</v>
      </c>
      <c r="G712" s="39">
        <f>G713</f>
        <v>225.16</v>
      </c>
      <c r="H712" s="39">
        <f t="shared" si="313"/>
        <v>0</v>
      </c>
      <c r="I712" s="39">
        <f t="shared" si="313"/>
        <v>0</v>
      </c>
    </row>
    <row r="713" spans="1:12" ht="23.25" customHeight="1">
      <c r="A713" s="278">
        <v>697</v>
      </c>
      <c r="B713" s="129" t="s">
        <v>70</v>
      </c>
      <c r="C713" s="55">
        <v>952</v>
      </c>
      <c r="D713" s="55" t="s">
        <v>126</v>
      </c>
      <c r="E713" s="55" t="s">
        <v>538</v>
      </c>
      <c r="F713" s="134">
        <v>610</v>
      </c>
      <c r="G713" s="39">
        <v>225.16</v>
      </c>
      <c r="H713" s="39">
        <v>0</v>
      </c>
      <c r="I713" s="39">
        <v>0</v>
      </c>
      <c r="J713" s="201">
        <v>213.9</v>
      </c>
      <c r="K713" s="110">
        <v>11.26</v>
      </c>
    </row>
    <row r="714" spans="1:12" ht="47.25">
      <c r="A714" s="278">
        <v>698</v>
      </c>
      <c r="B714" s="128" t="s">
        <v>393</v>
      </c>
      <c r="C714" s="87">
        <v>952</v>
      </c>
      <c r="D714" s="55" t="s">
        <v>126</v>
      </c>
      <c r="E714" s="43" t="s">
        <v>261</v>
      </c>
      <c r="F714" s="87"/>
      <c r="G714" s="39">
        <f>G715</f>
        <v>0</v>
      </c>
      <c r="H714" s="39">
        <f t="shared" ref="H714:I715" si="314">H715</f>
        <v>14</v>
      </c>
      <c r="I714" s="39">
        <f t="shared" si="314"/>
        <v>0</v>
      </c>
    </row>
    <row r="715" spans="1:12" ht="31.5">
      <c r="A715" s="278">
        <v>699</v>
      </c>
      <c r="B715" s="129" t="s">
        <v>52</v>
      </c>
      <c r="C715" s="87">
        <v>952</v>
      </c>
      <c r="D715" s="55" t="s">
        <v>126</v>
      </c>
      <c r="E715" s="43" t="s">
        <v>261</v>
      </c>
      <c r="F715" s="87">
        <v>600</v>
      </c>
      <c r="G715" s="39">
        <f>G716</f>
        <v>0</v>
      </c>
      <c r="H715" s="39">
        <f t="shared" si="314"/>
        <v>14</v>
      </c>
      <c r="I715" s="39">
        <f t="shared" si="314"/>
        <v>0</v>
      </c>
    </row>
    <row r="716" spans="1:12" ht="15.75">
      <c r="A716" s="278">
        <v>700</v>
      </c>
      <c r="B716" s="129" t="s">
        <v>70</v>
      </c>
      <c r="C716" s="87">
        <v>952</v>
      </c>
      <c r="D716" s="55" t="s">
        <v>126</v>
      </c>
      <c r="E716" s="43" t="s">
        <v>261</v>
      </c>
      <c r="F716" s="87">
        <v>610</v>
      </c>
      <c r="G716" s="39">
        <f>49.6-49.6</f>
        <v>0</v>
      </c>
      <c r="H716" s="39">
        <f>49.6-35.6</f>
        <v>14</v>
      </c>
      <c r="I716" s="39">
        <v>0</v>
      </c>
      <c r="J716" s="201">
        <v>-49.6</v>
      </c>
      <c r="K716" s="201">
        <v>-35.6</v>
      </c>
    </row>
    <row r="717" spans="1:12" ht="63">
      <c r="A717" s="278">
        <v>701</v>
      </c>
      <c r="B717" s="130" t="s">
        <v>394</v>
      </c>
      <c r="C717" s="87">
        <v>952</v>
      </c>
      <c r="D717" s="55" t="s">
        <v>126</v>
      </c>
      <c r="E717" s="43" t="s">
        <v>315</v>
      </c>
      <c r="F717" s="87"/>
      <c r="G717" s="39">
        <f>G718</f>
        <v>400</v>
      </c>
      <c r="H717" s="39">
        <f t="shared" ref="H717:I717" si="315">H718</f>
        <v>0</v>
      </c>
      <c r="I717" s="39">
        <f t="shared" si="315"/>
        <v>0</v>
      </c>
    </row>
    <row r="718" spans="1:12" ht="31.5">
      <c r="A718" s="278">
        <v>702</v>
      </c>
      <c r="B718" s="129" t="s">
        <v>52</v>
      </c>
      <c r="C718" s="87">
        <v>952</v>
      </c>
      <c r="D718" s="55" t="s">
        <v>126</v>
      </c>
      <c r="E718" s="43" t="s">
        <v>315</v>
      </c>
      <c r="F718" s="87">
        <v>600</v>
      </c>
      <c r="G718" s="39">
        <f>G719</f>
        <v>400</v>
      </c>
      <c r="H718" s="39">
        <f>H719</f>
        <v>0</v>
      </c>
      <c r="I718" s="39">
        <f>I719</f>
        <v>0</v>
      </c>
    </row>
    <row r="719" spans="1:12" ht="15.75">
      <c r="A719" s="278">
        <v>703</v>
      </c>
      <c r="B719" s="129" t="s">
        <v>70</v>
      </c>
      <c r="C719" s="87">
        <v>952</v>
      </c>
      <c r="D719" s="55" t="s">
        <v>126</v>
      </c>
      <c r="E719" s="43" t="s">
        <v>315</v>
      </c>
      <c r="F719" s="87">
        <v>610</v>
      </c>
      <c r="G719" s="39">
        <v>400</v>
      </c>
      <c r="H719" s="39">
        <v>0</v>
      </c>
      <c r="I719" s="39">
        <v>0</v>
      </c>
    </row>
    <row r="720" spans="1:12" s="98" customFormat="1" ht="47.25">
      <c r="A720" s="278">
        <v>704</v>
      </c>
      <c r="B720" s="183" t="s">
        <v>473</v>
      </c>
      <c r="C720" s="87">
        <v>952</v>
      </c>
      <c r="D720" s="179" t="s">
        <v>126</v>
      </c>
      <c r="E720" s="179" t="s">
        <v>508</v>
      </c>
      <c r="F720" s="87"/>
      <c r="G720" s="39">
        <f>G721</f>
        <v>252.7</v>
      </c>
      <c r="H720" s="39">
        <f t="shared" ref="H720:I721" si="316">H721</f>
        <v>238.7</v>
      </c>
      <c r="I720" s="39">
        <f t="shared" si="316"/>
        <v>238.7</v>
      </c>
      <c r="J720" s="110"/>
      <c r="K720" s="110"/>
      <c r="L720" s="110"/>
    </row>
    <row r="721" spans="1:12" s="98" customFormat="1" ht="31.5">
      <c r="A721" s="278">
        <v>705</v>
      </c>
      <c r="B721" s="129" t="s">
        <v>52</v>
      </c>
      <c r="C721" s="87">
        <v>952</v>
      </c>
      <c r="D721" s="179" t="s">
        <v>126</v>
      </c>
      <c r="E721" s="179" t="s">
        <v>508</v>
      </c>
      <c r="F721" s="87">
        <v>600</v>
      </c>
      <c r="G721" s="39">
        <f>G722</f>
        <v>252.7</v>
      </c>
      <c r="H721" s="39">
        <f t="shared" si="316"/>
        <v>238.7</v>
      </c>
      <c r="I721" s="39">
        <f t="shared" si="316"/>
        <v>238.7</v>
      </c>
      <c r="J721" s="110"/>
      <c r="K721" s="110"/>
      <c r="L721" s="110"/>
    </row>
    <row r="722" spans="1:12" s="98" customFormat="1" ht="15.75">
      <c r="A722" s="278">
        <v>706</v>
      </c>
      <c r="B722" s="129" t="s">
        <v>70</v>
      </c>
      <c r="C722" s="87">
        <v>952</v>
      </c>
      <c r="D722" s="179" t="s">
        <v>126</v>
      </c>
      <c r="E722" s="179" t="s">
        <v>508</v>
      </c>
      <c r="F722" s="87">
        <v>610</v>
      </c>
      <c r="G722" s="39">
        <f>157+56+39.7</f>
        <v>252.7</v>
      </c>
      <c r="H722" s="39">
        <f>157+56+25.7</f>
        <v>238.7</v>
      </c>
      <c r="I722" s="39">
        <f>182.7+56</f>
        <v>238.7</v>
      </c>
      <c r="J722" s="201">
        <v>39.700000000000003</v>
      </c>
      <c r="K722" s="201">
        <v>25.7</v>
      </c>
      <c r="L722" s="110"/>
    </row>
    <row r="723" spans="1:12">
      <c r="A723" s="278">
        <v>707</v>
      </c>
      <c r="B723" s="102" t="s">
        <v>76</v>
      </c>
      <c r="C723" s="55">
        <v>952</v>
      </c>
      <c r="D723" s="55" t="s">
        <v>127</v>
      </c>
      <c r="E723" s="59"/>
      <c r="F723" s="59"/>
      <c r="G723" s="39">
        <f>G724</f>
        <v>3718.7740000000003</v>
      </c>
      <c r="H723" s="39">
        <f t="shared" ref="H723:I724" si="317">H724</f>
        <v>3831.66</v>
      </c>
      <c r="I723" s="39">
        <f t="shared" si="317"/>
        <v>3831.66</v>
      </c>
    </row>
    <row r="724" spans="1:12">
      <c r="A724" s="278">
        <v>708</v>
      </c>
      <c r="B724" s="115" t="s">
        <v>345</v>
      </c>
      <c r="C724" s="55">
        <v>952</v>
      </c>
      <c r="D724" s="55" t="s">
        <v>127</v>
      </c>
      <c r="E724" s="55" t="s">
        <v>198</v>
      </c>
      <c r="F724" s="59"/>
      <c r="G724" s="39">
        <f>G725</f>
        <v>3718.7740000000003</v>
      </c>
      <c r="H724" s="39">
        <f t="shared" si="317"/>
        <v>3831.66</v>
      </c>
      <c r="I724" s="39">
        <f t="shared" si="317"/>
        <v>3831.66</v>
      </c>
    </row>
    <row r="725" spans="1:12">
      <c r="A725" s="278">
        <v>709</v>
      </c>
      <c r="B725" s="115" t="s">
        <v>69</v>
      </c>
      <c r="C725" s="55">
        <v>952</v>
      </c>
      <c r="D725" s="55" t="s">
        <v>127</v>
      </c>
      <c r="E725" s="55" t="s">
        <v>217</v>
      </c>
      <c r="F725" s="59"/>
      <c r="G725" s="39">
        <f>G726+G736+G733</f>
        <v>3718.7740000000003</v>
      </c>
      <c r="H725" s="39">
        <f t="shared" ref="H725:I725" si="318">H726+H736+H733</f>
        <v>3831.66</v>
      </c>
      <c r="I725" s="39">
        <f t="shared" si="318"/>
        <v>3831.66</v>
      </c>
    </row>
    <row r="726" spans="1:12" ht="45">
      <c r="A726" s="278">
        <v>710</v>
      </c>
      <c r="B726" s="115" t="s">
        <v>408</v>
      </c>
      <c r="C726" s="55">
        <v>952</v>
      </c>
      <c r="D726" s="55" t="s">
        <v>127</v>
      </c>
      <c r="E726" s="55" t="s">
        <v>218</v>
      </c>
      <c r="F726" s="59"/>
      <c r="G726" s="39">
        <f>G727+G729+G731</f>
        <v>3555.55</v>
      </c>
      <c r="H726" s="39">
        <f t="shared" ref="H726:I726" si="319">H727+H729+H731</f>
        <v>3831.66</v>
      </c>
      <c r="I726" s="39">
        <f t="shared" si="319"/>
        <v>3831.66</v>
      </c>
    </row>
    <row r="727" spans="1:12" ht="45">
      <c r="A727" s="278">
        <v>711</v>
      </c>
      <c r="B727" s="102" t="s">
        <v>17</v>
      </c>
      <c r="C727" s="55">
        <v>952</v>
      </c>
      <c r="D727" s="55" t="s">
        <v>127</v>
      </c>
      <c r="E727" s="55" t="s">
        <v>218</v>
      </c>
      <c r="F727" s="59">
        <v>100</v>
      </c>
      <c r="G727" s="39">
        <f>G728</f>
        <v>2789.58</v>
      </c>
      <c r="H727" s="39">
        <f t="shared" ref="H727:I727" si="320">H728</f>
        <v>2945.69</v>
      </c>
      <c r="I727" s="39">
        <f t="shared" si="320"/>
        <v>2945.69</v>
      </c>
    </row>
    <row r="728" spans="1:12">
      <c r="A728" s="278">
        <v>712</v>
      </c>
      <c r="B728" s="102" t="s">
        <v>66</v>
      </c>
      <c r="C728" s="55">
        <v>952</v>
      </c>
      <c r="D728" s="55" t="s">
        <v>127</v>
      </c>
      <c r="E728" s="55" t="s">
        <v>218</v>
      </c>
      <c r="F728" s="59">
        <v>110</v>
      </c>
      <c r="G728" s="39">
        <f>2945.69-156.11</f>
        <v>2789.58</v>
      </c>
      <c r="H728" s="39">
        <v>2945.69</v>
      </c>
      <c r="I728" s="39">
        <v>2945.69</v>
      </c>
      <c r="J728" s="240">
        <v>-156.11000000000001</v>
      </c>
    </row>
    <row r="729" spans="1:12">
      <c r="A729" s="278">
        <v>713</v>
      </c>
      <c r="B729" s="102" t="s">
        <v>22</v>
      </c>
      <c r="C729" s="55">
        <v>952</v>
      </c>
      <c r="D729" s="55" t="s">
        <v>127</v>
      </c>
      <c r="E729" s="55" t="s">
        <v>218</v>
      </c>
      <c r="F729" s="59">
        <v>200</v>
      </c>
      <c r="G729" s="39">
        <f>G730</f>
        <v>764.97</v>
      </c>
      <c r="H729" s="39">
        <f t="shared" ref="H729:I729" si="321">H730</f>
        <v>884.97</v>
      </c>
      <c r="I729" s="39">
        <f t="shared" si="321"/>
        <v>884.97</v>
      </c>
    </row>
    <row r="730" spans="1:12">
      <c r="A730" s="278">
        <v>714</v>
      </c>
      <c r="B730" s="102" t="s">
        <v>23</v>
      </c>
      <c r="C730" s="55">
        <v>952</v>
      </c>
      <c r="D730" s="55" t="s">
        <v>127</v>
      </c>
      <c r="E730" s="55" t="s">
        <v>218</v>
      </c>
      <c r="F730" s="59">
        <v>240</v>
      </c>
      <c r="G730" s="39">
        <f>884.97-120</f>
        <v>764.97</v>
      </c>
      <c r="H730" s="39">
        <v>884.97</v>
      </c>
      <c r="I730" s="39">
        <v>884.97</v>
      </c>
      <c r="J730" s="240">
        <v>-120</v>
      </c>
    </row>
    <row r="731" spans="1:12">
      <c r="A731" s="278">
        <v>715</v>
      </c>
      <c r="B731" s="102" t="s">
        <v>34</v>
      </c>
      <c r="C731" s="55">
        <v>952</v>
      </c>
      <c r="D731" s="55" t="s">
        <v>127</v>
      </c>
      <c r="E731" s="55" t="s">
        <v>218</v>
      </c>
      <c r="F731" s="59">
        <v>800</v>
      </c>
      <c r="G731" s="39">
        <f>G732</f>
        <v>1</v>
      </c>
      <c r="H731" s="39">
        <f t="shared" ref="H731:I731" si="322">H732</f>
        <v>1</v>
      </c>
      <c r="I731" s="39">
        <f t="shared" si="322"/>
        <v>1</v>
      </c>
    </row>
    <row r="732" spans="1:12">
      <c r="A732" s="278">
        <v>716</v>
      </c>
      <c r="B732" s="102" t="s">
        <v>83</v>
      </c>
      <c r="C732" s="55">
        <v>952</v>
      </c>
      <c r="D732" s="55" t="s">
        <v>127</v>
      </c>
      <c r="E732" s="55" t="s">
        <v>218</v>
      </c>
      <c r="F732" s="59">
        <v>850</v>
      </c>
      <c r="G732" s="39">
        <v>1</v>
      </c>
      <c r="H732" s="39">
        <v>1</v>
      </c>
      <c r="I732" s="39">
        <v>1</v>
      </c>
    </row>
    <row r="733" spans="1:12" ht="30">
      <c r="A733" s="278">
        <v>717</v>
      </c>
      <c r="B733" s="190" t="s">
        <v>519</v>
      </c>
      <c r="C733" s="55">
        <v>952</v>
      </c>
      <c r="D733" s="55" t="s">
        <v>127</v>
      </c>
      <c r="E733" s="55" t="s">
        <v>533</v>
      </c>
      <c r="F733" s="134"/>
      <c r="G733" s="39">
        <f>G734</f>
        <v>154.26400000000001</v>
      </c>
      <c r="H733" s="39">
        <f t="shared" ref="H733:I734" si="323">H734</f>
        <v>0</v>
      </c>
      <c r="I733" s="39">
        <f t="shared" si="323"/>
        <v>0</v>
      </c>
    </row>
    <row r="734" spans="1:12" ht="45">
      <c r="A734" s="278">
        <v>718</v>
      </c>
      <c r="B734" s="190" t="s">
        <v>17</v>
      </c>
      <c r="C734" s="55">
        <v>952</v>
      </c>
      <c r="D734" s="55" t="s">
        <v>127</v>
      </c>
      <c r="E734" s="55" t="s">
        <v>533</v>
      </c>
      <c r="F734" s="134">
        <v>100</v>
      </c>
      <c r="G734" s="39">
        <f>G735</f>
        <v>154.26400000000001</v>
      </c>
      <c r="H734" s="39">
        <f t="shared" si="323"/>
        <v>0</v>
      </c>
      <c r="I734" s="39">
        <f t="shared" si="323"/>
        <v>0</v>
      </c>
    </row>
    <row r="735" spans="1:12">
      <c r="A735" s="278">
        <v>719</v>
      </c>
      <c r="B735" s="190" t="s">
        <v>66</v>
      </c>
      <c r="C735" s="55">
        <v>952</v>
      </c>
      <c r="D735" s="55" t="s">
        <v>127</v>
      </c>
      <c r="E735" s="55" t="s">
        <v>533</v>
      </c>
      <c r="F735" s="134">
        <v>110</v>
      </c>
      <c r="G735" s="39">
        <v>154.26400000000001</v>
      </c>
      <c r="H735" s="39">
        <v>0</v>
      </c>
      <c r="I735" s="39">
        <v>0</v>
      </c>
      <c r="J735" s="201">
        <v>154.26</v>
      </c>
    </row>
    <row r="736" spans="1:12" ht="45">
      <c r="A736" s="278">
        <v>720</v>
      </c>
      <c r="B736" s="101" t="s">
        <v>364</v>
      </c>
      <c r="C736" s="55" t="s">
        <v>331</v>
      </c>
      <c r="D736" s="55" t="s">
        <v>127</v>
      </c>
      <c r="E736" s="55" t="s">
        <v>406</v>
      </c>
      <c r="F736" s="109"/>
      <c r="G736" s="39">
        <f>G737</f>
        <v>8.9600000000000009</v>
      </c>
      <c r="H736" s="39">
        <f t="shared" ref="H736:I737" si="324">H737</f>
        <v>0</v>
      </c>
      <c r="I736" s="39">
        <f t="shared" si="324"/>
        <v>0</v>
      </c>
    </row>
    <row r="737" spans="1:10" ht="45">
      <c r="A737" s="278">
        <v>721</v>
      </c>
      <c r="B737" s="102" t="s">
        <v>17</v>
      </c>
      <c r="C737" s="55" t="s">
        <v>331</v>
      </c>
      <c r="D737" s="55" t="s">
        <v>127</v>
      </c>
      <c r="E737" s="55" t="s">
        <v>406</v>
      </c>
      <c r="F737" s="109">
        <v>100</v>
      </c>
      <c r="G737" s="39">
        <f>G738</f>
        <v>8.9600000000000009</v>
      </c>
      <c r="H737" s="39">
        <f t="shared" si="324"/>
        <v>0</v>
      </c>
      <c r="I737" s="39">
        <f t="shared" si="324"/>
        <v>0</v>
      </c>
    </row>
    <row r="738" spans="1:10">
      <c r="A738" s="278">
        <v>722</v>
      </c>
      <c r="B738" s="102" t="s">
        <v>66</v>
      </c>
      <c r="C738" s="55" t="s">
        <v>331</v>
      </c>
      <c r="D738" s="55" t="s">
        <v>127</v>
      </c>
      <c r="E738" s="55" t="s">
        <v>406</v>
      </c>
      <c r="F738" s="109">
        <v>110</v>
      </c>
      <c r="G738" s="39">
        <v>8.9600000000000009</v>
      </c>
      <c r="H738" s="39">
        <v>0</v>
      </c>
      <c r="I738" s="39">
        <v>0</v>
      </c>
    </row>
    <row r="739" spans="1:10" ht="15.75">
      <c r="A739" s="278">
        <v>723</v>
      </c>
      <c r="B739" s="130" t="s">
        <v>262</v>
      </c>
      <c r="C739" s="87">
        <v>952</v>
      </c>
      <c r="D739" s="88" t="s">
        <v>264</v>
      </c>
      <c r="E739" s="43"/>
      <c r="F739" s="87"/>
      <c r="G739" s="39">
        <f t="shared" ref="G739:G744" si="325">G740</f>
        <v>119.47</v>
      </c>
      <c r="H739" s="39">
        <f t="shared" ref="H739:I739" si="326">H740</f>
        <v>139.47</v>
      </c>
      <c r="I739" s="39">
        <f t="shared" si="326"/>
        <v>139.47</v>
      </c>
    </row>
    <row r="740" spans="1:10" ht="15.75">
      <c r="A740" s="278">
        <v>724</v>
      </c>
      <c r="B740" s="131" t="s">
        <v>263</v>
      </c>
      <c r="C740" s="87">
        <v>952</v>
      </c>
      <c r="D740" s="88">
        <v>1101</v>
      </c>
      <c r="E740" s="43"/>
      <c r="F740" s="87"/>
      <c r="G740" s="39">
        <f t="shared" si="325"/>
        <v>119.47</v>
      </c>
      <c r="H740" s="39">
        <f t="shared" ref="H740:I740" si="327">H741</f>
        <v>139.47</v>
      </c>
      <c r="I740" s="39">
        <f t="shared" si="327"/>
        <v>139.47</v>
      </c>
    </row>
    <row r="741" spans="1:10" ht="30">
      <c r="A741" s="278">
        <v>725</v>
      </c>
      <c r="B741" s="132" t="s">
        <v>265</v>
      </c>
      <c r="C741" s="43">
        <v>952</v>
      </c>
      <c r="D741" s="43" t="s">
        <v>266</v>
      </c>
      <c r="E741" s="43" t="s">
        <v>401</v>
      </c>
      <c r="F741" s="87"/>
      <c r="G741" s="39">
        <f>G742+G746</f>
        <v>119.47</v>
      </c>
      <c r="H741" s="39">
        <f t="shared" ref="H741:I741" si="328">H742+H746</f>
        <v>139.47</v>
      </c>
      <c r="I741" s="39">
        <f t="shared" si="328"/>
        <v>139.47</v>
      </c>
    </row>
    <row r="742" spans="1:10" ht="30">
      <c r="A742" s="278">
        <v>726</v>
      </c>
      <c r="B742" s="122" t="s">
        <v>342</v>
      </c>
      <c r="C742" s="87">
        <v>952</v>
      </c>
      <c r="D742" s="88" t="s">
        <v>266</v>
      </c>
      <c r="E742" s="43" t="s">
        <v>395</v>
      </c>
      <c r="F742" s="87"/>
      <c r="G742" s="39">
        <f t="shared" si="325"/>
        <v>71.37</v>
      </c>
      <c r="H742" s="39">
        <f t="shared" ref="H742:I742" si="329">H743</f>
        <v>81.37</v>
      </c>
      <c r="I742" s="39">
        <f t="shared" si="329"/>
        <v>81.37</v>
      </c>
    </row>
    <row r="743" spans="1:10" ht="60">
      <c r="A743" s="278">
        <v>727</v>
      </c>
      <c r="B743" s="122" t="s">
        <v>399</v>
      </c>
      <c r="C743" s="87">
        <v>952</v>
      </c>
      <c r="D743" s="88" t="s">
        <v>266</v>
      </c>
      <c r="E743" s="43" t="s">
        <v>396</v>
      </c>
      <c r="F743" s="87"/>
      <c r="G743" s="39">
        <f t="shared" si="325"/>
        <v>71.37</v>
      </c>
      <c r="H743" s="39">
        <f t="shared" ref="H743:I743" si="330">H744</f>
        <v>81.37</v>
      </c>
      <c r="I743" s="39">
        <f t="shared" si="330"/>
        <v>81.37</v>
      </c>
    </row>
    <row r="744" spans="1:10" ht="31.5">
      <c r="A744" s="278">
        <v>728</v>
      </c>
      <c r="B744" s="129" t="s">
        <v>52</v>
      </c>
      <c r="C744" s="87">
        <v>952</v>
      </c>
      <c r="D744" s="88" t="s">
        <v>266</v>
      </c>
      <c r="E744" s="43" t="s">
        <v>396</v>
      </c>
      <c r="F744" s="87">
        <v>600</v>
      </c>
      <c r="G744" s="39">
        <f t="shared" si="325"/>
        <v>71.37</v>
      </c>
      <c r="H744" s="39">
        <f t="shared" ref="H744:I744" si="331">H745</f>
        <v>81.37</v>
      </c>
      <c r="I744" s="39">
        <f t="shared" si="331"/>
        <v>81.37</v>
      </c>
    </row>
    <row r="745" spans="1:10" ht="15.75">
      <c r="A745" s="278">
        <v>729</v>
      </c>
      <c r="B745" s="129" t="s">
        <v>70</v>
      </c>
      <c r="C745" s="87">
        <v>952</v>
      </c>
      <c r="D745" s="88" t="s">
        <v>266</v>
      </c>
      <c r="E745" s="43" t="s">
        <v>396</v>
      </c>
      <c r="F745" s="87">
        <v>610</v>
      </c>
      <c r="G745" s="39">
        <f>81.37-10</f>
        <v>71.37</v>
      </c>
      <c r="H745" s="39">
        <v>81.37</v>
      </c>
      <c r="I745" s="39">
        <v>81.37</v>
      </c>
      <c r="J745" s="240">
        <v>-10</v>
      </c>
    </row>
    <row r="746" spans="1:10" ht="31.5">
      <c r="A746" s="278">
        <v>730</v>
      </c>
      <c r="B746" s="130" t="s">
        <v>343</v>
      </c>
      <c r="C746" s="87">
        <v>952</v>
      </c>
      <c r="D746" s="88" t="s">
        <v>266</v>
      </c>
      <c r="E746" s="43" t="s">
        <v>397</v>
      </c>
      <c r="F746" s="87"/>
      <c r="G746" s="39">
        <f>G747</f>
        <v>48.1</v>
      </c>
      <c r="H746" s="39">
        <f t="shared" ref="H746:I748" si="332">H747</f>
        <v>58.1</v>
      </c>
      <c r="I746" s="39">
        <f t="shared" si="332"/>
        <v>58.1</v>
      </c>
    </row>
    <row r="747" spans="1:10" ht="78.75">
      <c r="A747" s="278">
        <v>731</v>
      </c>
      <c r="B747" s="250" t="s">
        <v>400</v>
      </c>
      <c r="C747" s="87">
        <v>952</v>
      </c>
      <c r="D747" s="88" t="s">
        <v>266</v>
      </c>
      <c r="E747" s="43" t="s">
        <v>398</v>
      </c>
      <c r="F747" s="87"/>
      <c r="G747" s="39">
        <f>G748</f>
        <v>48.1</v>
      </c>
      <c r="H747" s="39">
        <f t="shared" si="332"/>
        <v>58.1</v>
      </c>
      <c r="I747" s="39">
        <f t="shared" si="332"/>
        <v>58.1</v>
      </c>
    </row>
    <row r="748" spans="1:10" ht="31.5">
      <c r="A748" s="278">
        <v>732</v>
      </c>
      <c r="B748" s="129" t="s">
        <v>52</v>
      </c>
      <c r="C748" s="87">
        <v>952</v>
      </c>
      <c r="D748" s="88" t="s">
        <v>266</v>
      </c>
      <c r="E748" s="43" t="s">
        <v>398</v>
      </c>
      <c r="F748" s="87">
        <v>600</v>
      </c>
      <c r="G748" s="39">
        <f>G749</f>
        <v>48.1</v>
      </c>
      <c r="H748" s="39">
        <f t="shared" si="332"/>
        <v>58.1</v>
      </c>
      <c r="I748" s="39">
        <f t="shared" si="332"/>
        <v>58.1</v>
      </c>
    </row>
    <row r="749" spans="1:10" ht="15.75">
      <c r="A749" s="278">
        <v>733</v>
      </c>
      <c r="B749" s="129" t="s">
        <v>70</v>
      </c>
      <c r="C749" s="87">
        <v>952</v>
      </c>
      <c r="D749" s="88" t="s">
        <v>266</v>
      </c>
      <c r="E749" s="43" t="s">
        <v>398</v>
      </c>
      <c r="F749" s="87">
        <v>610</v>
      </c>
      <c r="G749" s="39">
        <f>58.1-10</f>
        <v>48.1</v>
      </c>
      <c r="H749" s="39">
        <v>58.1</v>
      </c>
      <c r="I749" s="39">
        <v>58.1</v>
      </c>
      <c r="J749" s="240">
        <v>-10</v>
      </c>
    </row>
    <row r="750" spans="1:10" ht="28.5">
      <c r="A750" s="278">
        <v>734</v>
      </c>
      <c r="B750" s="78" t="s">
        <v>556</v>
      </c>
      <c r="C750" s="87">
        <v>953</v>
      </c>
      <c r="D750" s="88"/>
      <c r="E750" s="208"/>
      <c r="F750" s="87"/>
      <c r="G750" s="39">
        <f>G751</f>
        <v>398.9</v>
      </c>
      <c r="H750" s="39">
        <f t="shared" ref="H750:I754" si="333">H751</f>
        <v>0</v>
      </c>
      <c r="I750" s="39">
        <f t="shared" si="333"/>
        <v>0</v>
      </c>
    </row>
    <row r="751" spans="1:10" ht="15.75">
      <c r="A751" s="278">
        <v>735</v>
      </c>
      <c r="B751" s="117" t="s">
        <v>128</v>
      </c>
      <c r="C751" s="118" t="s">
        <v>558</v>
      </c>
      <c r="D751" s="118" t="s">
        <v>129</v>
      </c>
      <c r="E751" s="208"/>
      <c r="F751" s="87"/>
      <c r="G751" s="39">
        <f>G752</f>
        <v>398.9</v>
      </c>
      <c r="H751" s="39">
        <f t="shared" si="333"/>
        <v>0</v>
      </c>
      <c r="I751" s="39">
        <f t="shared" si="333"/>
        <v>0</v>
      </c>
    </row>
    <row r="752" spans="1:10" ht="15.75">
      <c r="A752" s="278">
        <v>736</v>
      </c>
      <c r="B752" s="17" t="s">
        <v>82</v>
      </c>
      <c r="C752" s="55" t="s">
        <v>558</v>
      </c>
      <c r="D752" s="208" t="s">
        <v>132</v>
      </c>
      <c r="E752" s="208"/>
      <c r="F752" s="87"/>
      <c r="G752" s="39">
        <f>G753</f>
        <v>398.9</v>
      </c>
      <c r="H752" s="39">
        <f t="shared" si="333"/>
        <v>0</v>
      </c>
      <c r="I752" s="39">
        <f t="shared" si="333"/>
        <v>0</v>
      </c>
    </row>
    <row r="753" spans="1:10">
      <c r="A753" s="278">
        <v>737</v>
      </c>
      <c r="B753" s="206" t="s">
        <v>25</v>
      </c>
      <c r="C753" s="55" t="s">
        <v>558</v>
      </c>
      <c r="D753" s="208" t="s">
        <v>132</v>
      </c>
      <c r="E753" s="203">
        <v>9200000000</v>
      </c>
      <c r="F753" s="203"/>
      <c r="G753" s="39">
        <f>G754</f>
        <v>398.9</v>
      </c>
      <c r="H753" s="39">
        <f t="shared" si="333"/>
        <v>0</v>
      </c>
      <c r="I753" s="39">
        <f t="shared" si="333"/>
        <v>0</v>
      </c>
    </row>
    <row r="754" spans="1:10">
      <c r="A754" s="278">
        <v>738</v>
      </c>
      <c r="B754" s="206" t="s">
        <v>557</v>
      </c>
      <c r="C754" s="55" t="s">
        <v>558</v>
      </c>
      <c r="D754" s="208" t="s">
        <v>132</v>
      </c>
      <c r="E754" s="203">
        <v>9220000000</v>
      </c>
      <c r="F754" s="203"/>
      <c r="G754" s="39">
        <f>G755</f>
        <v>398.9</v>
      </c>
      <c r="H754" s="39">
        <f t="shared" si="333"/>
        <v>0</v>
      </c>
      <c r="I754" s="39">
        <f t="shared" si="333"/>
        <v>0</v>
      </c>
    </row>
    <row r="755" spans="1:10" ht="49.5" customHeight="1">
      <c r="A755" s="278">
        <v>739</v>
      </c>
      <c r="B755" s="206" t="s">
        <v>559</v>
      </c>
      <c r="C755" s="55" t="s">
        <v>558</v>
      </c>
      <c r="D755" s="208" t="s">
        <v>132</v>
      </c>
      <c r="E755" s="203" t="s">
        <v>560</v>
      </c>
      <c r="F755" s="203"/>
      <c r="G755" s="39">
        <f>G756+G758+G760</f>
        <v>398.9</v>
      </c>
      <c r="H755" s="39">
        <f t="shared" ref="H755:I755" si="334">H756+H758+H760</f>
        <v>0</v>
      </c>
      <c r="I755" s="39">
        <f t="shared" si="334"/>
        <v>0</v>
      </c>
      <c r="J755" s="213">
        <v>398.9</v>
      </c>
    </row>
    <row r="756" spans="1:10">
      <c r="A756" s="278">
        <v>740</v>
      </c>
      <c r="B756" s="212" t="s">
        <v>22</v>
      </c>
      <c r="C756" s="55" t="s">
        <v>558</v>
      </c>
      <c r="D756" s="208" t="s">
        <v>132</v>
      </c>
      <c r="E756" s="203" t="s">
        <v>560</v>
      </c>
      <c r="F756" s="203">
        <v>200</v>
      </c>
      <c r="G756" s="39">
        <f>G757</f>
        <v>317.74</v>
      </c>
      <c r="H756" s="39">
        <v>0</v>
      </c>
      <c r="I756" s="39">
        <v>0</v>
      </c>
    </row>
    <row r="757" spans="1:10">
      <c r="A757" s="278">
        <v>741</v>
      </c>
      <c r="B757" s="212" t="s">
        <v>23</v>
      </c>
      <c r="C757" s="55" t="s">
        <v>558</v>
      </c>
      <c r="D757" s="208" t="s">
        <v>132</v>
      </c>
      <c r="E757" s="203" t="s">
        <v>560</v>
      </c>
      <c r="F757" s="203">
        <v>240</v>
      </c>
      <c r="G757" s="39">
        <v>317.74</v>
      </c>
      <c r="H757" s="39">
        <v>0</v>
      </c>
      <c r="I757" s="39">
        <v>0</v>
      </c>
    </row>
    <row r="758" spans="1:10">
      <c r="A758" s="278">
        <v>742</v>
      </c>
      <c r="B758" s="212" t="s">
        <v>80</v>
      </c>
      <c r="C758" s="55" t="s">
        <v>558</v>
      </c>
      <c r="D758" s="208" t="s">
        <v>132</v>
      </c>
      <c r="E758" s="203" t="s">
        <v>560</v>
      </c>
      <c r="F758" s="203">
        <v>300</v>
      </c>
      <c r="G758" s="39">
        <f>G759</f>
        <v>80.66</v>
      </c>
      <c r="H758" s="39">
        <v>0</v>
      </c>
      <c r="I758" s="39">
        <v>0</v>
      </c>
    </row>
    <row r="759" spans="1:10">
      <c r="A759" s="278">
        <v>743</v>
      </c>
      <c r="B759" s="212" t="s">
        <v>84</v>
      </c>
      <c r="C759" s="55" t="s">
        <v>558</v>
      </c>
      <c r="D759" s="208" t="s">
        <v>132</v>
      </c>
      <c r="E759" s="203" t="s">
        <v>560</v>
      </c>
      <c r="F759" s="203">
        <v>320</v>
      </c>
      <c r="G759" s="39">
        <v>80.66</v>
      </c>
      <c r="H759" s="39">
        <v>0</v>
      </c>
      <c r="I759" s="39">
        <v>0</v>
      </c>
    </row>
    <row r="760" spans="1:10">
      <c r="A760" s="278">
        <v>744</v>
      </c>
      <c r="B760" s="212" t="s">
        <v>34</v>
      </c>
      <c r="C760" s="55" t="s">
        <v>558</v>
      </c>
      <c r="D760" s="208" t="s">
        <v>132</v>
      </c>
      <c r="E760" s="203" t="s">
        <v>560</v>
      </c>
      <c r="F760" s="203">
        <v>800</v>
      </c>
      <c r="G760" s="39">
        <f>G761</f>
        <v>0.5</v>
      </c>
      <c r="H760" s="39">
        <v>0</v>
      </c>
      <c r="I760" s="39">
        <v>0</v>
      </c>
    </row>
    <row r="761" spans="1:10">
      <c r="A761" s="278">
        <v>745</v>
      </c>
      <c r="B761" s="212" t="s">
        <v>83</v>
      </c>
      <c r="C761" s="55" t="s">
        <v>558</v>
      </c>
      <c r="D761" s="208" t="s">
        <v>132</v>
      </c>
      <c r="E761" s="203" t="s">
        <v>560</v>
      </c>
      <c r="F761" s="203">
        <v>850</v>
      </c>
      <c r="G761" s="39">
        <v>0.5</v>
      </c>
      <c r="H761" s="39">
        <v>0</v>
      </c>
      <c r="I761" s="39">
        <v>0</v>
      </c>
    </row>
    <row r="762" spans="1:10" ht="30" customHeight="1">
      <c r="A762" s="278">
        <v>746</v>
      </c>
      <c r="B762" s="77" t="s">
        <v>247</v>
      </c>
      <c r="C762" s="73">
        <v>955</v>
      </c>
      <c r="D762" s="70"/>
      <c r="E762" s="70"/>
      <c r="F762" s="70"/>
      <c r="G762" s="71">
        <f>G763</f>
        <v>2013.58</v>
      </c>
      <c r="H762" s="71">
        <f t="shared" ref="H762:I762" si="335">H763</f>
        <v>1867.79</v>
      </c>
      <c r="I762" s="71">
        <f t="shared" si="335"/>
        <v>1867.79</v>
      </c>
    </row>
    <row r="763" spans="1:10">
      <c r="A763" s="278">
        <v>747</v>
      </c>
      <c r="B763" s="117" t="s">
        <v>88</v>
      </c>
      <c r="C763" s="43">
        <v>955</v>
      </c>
      <c r="D763" s="43" t="s">
        <v>89</v>
      </c>
      <c r="E763" s="59"/>
      <c r="F763" s="59"/>
      <c r="G763" s="39">
        <f>G764</f>
        <v>2013.58</v>
      </c>
      <c r="H763" s="39">
        <f t="shared" ref="H763:I765" si="336">H764</f>
        <v>1867.79</v>
      </c>
      <c r="I763" s="39">
        <f t="shared" si="336"/>
        <v>1867.79</v>
      </c>
    </row>
    <row r="764" spans="1:10" ht="30">
      <c r="A764" s="278">
        <v>748</v>
      </c>
      <c r="B764" s="102" t="s">
        <v>14</v>
      </c>
      <c r="C764" s="55">
        <v>955</v>
      </c>
      <c r="D764" s="55" t="s">
        <v>95</v>
      </c>
      <c r="E764" s="59"/>
      <c r="F764" s="59"/>
      <c r="G764" s="39">
        <f>G765</f>
        <v>2013.58</v>
      </c>
      <c r="H764" s="39">
        <f t="shared" si="336"/>
        <v>1867.79</v>
      </c>
      <c r="I764" s="39">
        <f t="shared" si="336"/>
        <v>1867.79</v>
      </c>
    </row>
    <row r="765" spans="1:10">
      <c r="A765" s="278">
        <v>749</v>
      </c>
      <c r="B765" s="102" t="s">
        <v>296</v>
      </c>
      <c r="C765" s="55">
        <v>955</v>
      </c>
      <c r="D765" s="55" t="s">
        <v>95</v>
      </c>
      <c r="E765" s="59">
        <v>8200000000</v>
      </c>
      <c r="F765" s="59"/>
      <c r="G765" s="39">
        <f>G766</f>
        <v>2013.58</v>
      </c>
      <c r="H765" s="39">
        <f t="shared" si="336"/>
        <v>1867.79</v>
      </c>
      <c r="I765" s="39">
        <f t="shared" si="336"/>
        <v>1867.79</v>
      </c>
    </row>
    <row r="766" spans="1:10">
      <c r="A766" s="278">
        <v>750</v>
      </c>
      <c r="B766" s="101" t="s">
        <v>297</v>
      </c>
      <c r="C766" s="55">
        <v>955</v>
      </c>
      <c r="D766" s="55" t="s">
        <v>95</v>
      </c>
      <c r="E766" s="100">
        <v>8210000000</v>
      </c>
      <c r="F766" s="100"/>
      <c r="G766" s="39">
        <f>G767+G774</f>
        <v>2013.58</v>
      </c>
      <c r="H766" s="39">
        <f t="shared" ref="H766:I766" si="337">H767+H774</f>
        <v>1867.79</v>
      </c>
      <c r="I766" s="39">
        <f t="shared" si="337"/>
        <v>1867.79</v>
      </c>
    </row>
    <row r="767" spans="1:10">
      <c r="A767" s="278">
        <v>751</v>
      </c>
      <c r="B767" s="247" t="s">
        <v>78</v>
      </c>
      <c r="C767" s="55">
        <v>955</v>
      </c>
      <c r="D767" s="55" t="s">
        <v>95</v>
      </c>
      <c r="E767" s="59">
        <v>8210000210</v>
      </c>
      <c r="F767" s="59"/>
      <c r="G767" s="39">
        <f>G768+G770+G772</f>
        <v>1821.19</v>
      </c>
      <c r="H767" s="39">
        <f t="shared" ref="H767:I767" si="338">H768+H770+H772</f>
        <v>1867.79</v>
      </c>
      <c r="I767" s="39">
        <f t="shared" si="338"/>
        <v>1867.79</v>
      </c>
    </row>
    <row r="768" spans="1:10" ht="45">
      <c r="A768" s="278">
        <v>752</v>
      </c>
      <c r="B768" s="102" t="s">
        <v>17</v>
      </c>
      <c r="C768" s="55">
        <v>955</v>
      </c>
      <c r="D768" s="55" t="s">
        <v>95</v>
      </c>
      <c r="E768" s="100">
        <v>8210000210</v>
      </c>
      <c r="F768" s="59">
        <v>100</v>
      </c>
      <c r="G768" s="39">
        <f>G769</f>
        <v>1690.98</v>
      </c>
      <c r="H768" s="39">
        <f t="shared" ref="H768:I768" si="339">H769</f>
        <v>1707.58</v>
      </c>
      <c r="I768" s="39">
        <f t="shared" si="339"/>
        <v>1707.58</v>
      </c>
    </row>
    <row r="769" spans="1:11">
      <c r="A769" s="278">
        <v>753</v>
      </c>
      <c r="B769" s="102" t="s">
        <v>18</v>
      </c>
      <c r="C769" s="55">
        <v>955</v>
      </c>
      <c r="D769" s="55" t="s">
        <v>95</v>
      </c>
      <c r="E769" s="100">
        <v>8210000210</v>
      </c>
      <c r="F769" s="59">
        <v>120</v>
      </c>
      <c r="G769" s="39">
        <f>1707.58-30+13.4</f>
        <v>1690.98</v>
      </c>
      <c r="H769" s="39">
        <v>1707.58</v>
      </c>
      <c r="I769" s="39">
        <v>1707.58</v>
      </c>
      <c r="J769" s="240">
        <v>-30</v>
      </c>
      <c r="K769" s="240">
        <v>13.4</v>
      </c>
    </row>
    <row r="770" spans="1:11">
      <c r="A770" s="278">
        <v>754</v>
      </c>
      <c r="B770" s="102" t="s">
        <v>22</v>
      </c>
      <c r="C770" s="55">
        <v>955</v>
      </c>
      <c r="D770" s="55" t="s">
        <v>95</v>
      </c>
      <c r="E770" s="100">
        <v>8210000210</v>
      </c>
      <c r="F770" s="59">
        <v>200</v>
      </c>
      <c r="G770" s="39">
        <f>G771</f>
        <v>129.21</v>
      </c>
      <c r="H770" s="39">
        <f t="shared" ref="H770:I770" si="340">H771</f>
        <v>159.21</v>
      </c>
      <c r="I770" s="39">
        <f t="shared" si="340"/>
        <v>159.21</v>
      </c>
    </row>
    <row r="771" spans="1:11">
      <c r="A771" s="278">
        <v>755</v>
      </c>
      <c r="B771" s="102" t="s">
        <v>23</v>
      </c>
      <c r="C771" s="55">
        <v>955</v>
      </c>
      <c r="D771" s="55" t="s">
        <v>95</v>
      </c>
      <c r="E771" s="100">
        <v>8210000210</v>
      </c>
      <c r="F771" s="59">
        <v>240</v>
      </c>
      <c r="G771" s="39">
        <f>160.21-1-30</f>
        <v>129.21</v>
      </c>
      <c r="H771" s="39">
        <v>159.21</v>
      </c>
      <c r="I771" s="39">
        <v>159.21</v>
      </c>
      <c r="J771" s="240">
        <v>-30</v>
      </c>
    </row>
    <row r="772" spans="1:11">
      <c r="A772" s="278">
        <v>756</v>
      </c>
      <c r="B772" s="102" t="s">
        <v>34</v>
      </c>
      <c r="C772" s="55">
        <v>955</v>
      </c>
      <c r="D772" s="55" t="s">
        <v>95</v>
      </c>
      <c r="E772" s="108">
        <v>8210000210</v>
      </c>
      <c r="F772" s="108">
        <v>800</v>
      </c>
      <c r="G772" s="39">
        <f>G773</f>
        <v>1</v>
      </c>
      <c r="H772" s="39">
        <f t="shared" ref="H772:I772" si="341">H773</f>
        <v>1</v>
      </c>
      <c r="I772" s="39">
        <f t="shared" si="341"/>
        <v>1</v>
      </c>
    </row>
    <row r="773" spans="1:11">
      <c r="A773" s="278">
        <v>757</v>
      </c>
      <c r="B773" s="102" t="s">
        <v>83</v>
      </c>
      <c r="C773" s="55">
        <v>955</v>
      </c>
      <c r="D773" s="55" t="s">
        <v>95</v>
      </c>
      <c r="E773" s="108">
        <v>8210000210</v>
      </c>
      <c r="F773" s="108">
        <v>850</v>
      </c>
      <c r="G773" s="39">
        <v>1</v>
      </c>
      <c r="H773" s="39">
        <v>1</v>
      </c>
      <c r="I773" s="39">
        <v>1</v>
      </c>
    </row>
    <row r="774" spans="1:11" ht="30">
      <c r="A774" s="278">
        <v>758</v>
      </c>
      <c r="B774" s="190" t="s">
        <v>519</v>
      </c>
      <c r="C774" s="55" t="s">
        <v>532</v>
      </c>
      <c r="D774" s="55" t="s">
        <v>95</v>
      </c>
      <c r="E774" s="134">
        <v>8210010360</v>
      </c>
      <c r="F774" s="134"/>
      <c r="G774" s="39">
        <f>G775</f>
        <v>192.39</v>
      </c>
      <c r="H774" s="39">
        <f t="shared" ref="H774:I775" si="342">H775</f>
        <v>0</v>
      </c>
      <c r="I774" s="39">
        <f t="shared" si="342"/>
        <v>0</v>
      </c>
    </row>
    <row r="775" spans="1:11" ht="45">
      <c r="A775" s="278">
        <v>759</v>
      </c>
      <c r="B775" s="190" t="s">
        <v>17</v>
      </c>
      <c r="C775" s="55" t="s">
        <v>532</v>
      </c>
      <c r="D775" s="55" t="s">
        <v>95</v>
      </c>
      <c r="E775" s="134">
        <v>8210010360</v>
      </c>
      <c r="F775" s="134">
        <v>100</v>
      </c>
      <c r="G775" s="39">
        <f>G776</f>
        <v>192.39</v>
      </c>
      <c r="H775" s="39">
        <f t="shared" si="342"/>
        <v>0</v>
      </c>
      <c r="I775" s="39">
        <f t="shared" si="342"/>
        <v>0</v>
      </c>
    </row>
    <row r="776" spans="1:11">
      <c r="A776" s="278">
        <v>760</v>
      </c>
      <c r="B776" s="190" t="s">
        <v>18</v>
      </c>
      <c r="C776" s="55" t="s">
        <v>532</v>
      </c>
      <c r="D776" s="55" t="s">
        <v>95</v>
      </c>
      <c r="E776" s="134">
        <v>8210010360</v>
      </c>
      <c r="F776" s="134">
        <v>120</v>
      </c>
      <c r="G776" s="39">
        <v>192.39</v>
      </c>
      <c r="H776" s="39">
        <v>0</v>
      </c>
      <c r="I776" s="39">
        <v>0</v>
      </c>
      <c r="J776" s="201">
        <v>192.39</v>
      </c>
    </row>
    <row r="777" spans="1:11" ht="33.75" customHeight="1">
      <c r="A777" s="278">
        <v>761</v>
      </c>
      <c r="B777" s="77" t="s">
        <v>248</v>
      </c>
      <c r="C777" s="73">
        <v>957</v>
      </c>
      <c r="D777" s="70"/>
      <c r="E777" s="70"/>
      <c r="F777" s="70"/>
      <c r="G777" s="71">
        <f>G778</f>
        <v>5466.66</v>
      </c>
      <c r="H777" s="71">
        <f t="shared" ref="H777:I780" si="343">H778</f>
        <v>5943.67</v>
      </c>
      <c r="I777" s="71">
        <f t="shared" si="343"/>
        <v>5943.67</v>
      </c>
    </row>
    <row r="778" spans="1:11">
      <c r="A778" s="278">
        <v>762</v>
      </c>
      <c r="B778" s="117" t="s">
        <v>88</v>
      </c>
      <c r="C778" s="43">
        <v>957</v>
      </c>
      <c r="D778" s="43" t="s">
        <v>89</v>
      </c>
      <c r="E778" s="42"/>
      <c r="F778" s="42"/>
      <c r="G778" s="39">
        <f>G779</f>
        <v>5466.66</v>
      </c>
      <c r="H778" s="39">
        <f t="shared" si="343"/>
        <v>5943.67</v>
      </c>
      <c r="I778" s="39">
        <f t="shared" si="343"/>
        <v>5943.67</v>
      </c>
    </row>
    <row r="779" spans="1:11" ht="30">
      <c r="A779" s="278">
        <v>763</v>
      </c>
      <c r="B779" s="102" t="s">
        <v>92</v>
      </c>
      <c r="C779" s="43">
        <v>957</v>
      </c>
      <c r="D779" s="43" t="s">
        <v>93</v>
      </c>
      <c r="E779" s="42"/>
      <c r="F779" s="42"/>
      <c r="G779" s="39">
        <f>G780</f>
        <v>5466.66</v>
      </c>
      <c r="H779" s="39">
        <f t="shared" si="343"/>
        <v>5943.67</v>
      </c>
      <c r="I779" s="39">
        <f t="shared" si="343"/>
        <v>5943.67</v>
      </c>
    </row>
    <row r="780" spans="1:11">
      <c r="A780" s="278">
        <v>764</v>
      </c>
      <c r="B780" s="102" t="s">
        <v>351</v>
      </c>
      <c r="C780" s="43">
        <v>957</v>
      </c>
      <c r="D780" s="43" t="s">
        <v>93</v>
      </c>
      <c r="E780" s="42">
        <v>8100000000</v>
      </c>
      <c r="F780" s="42"/>
      <c r="G780" s="39">
        <f>G781</f>
        <v>5466.66</v>
      </c>
      <c r="H780" s="39">
        <f t="shared" si="343"/>
        <v>5943.67</v>
      </c>
      <c r="I780" s="39">
        <f t="shared" si="343"/>
        <v>5943.67</v>
      </c>
    </row>
    <row r="781" spans="1:11">
      <c r="A781" s="278">
        <v>765</v>
      </c>
      <c r="B781" s="101" t="s">
        <v>298</v>
      </c>
      <c r="C781" s="43">
        <v>957</v>
      </c>
      <c r="D781" s="43" t="s">
        <v>93</v>
      </c>
      <c r="E781" s="42">
        <v>8110000000</v>
      </c>
      <c r="F781" s="42"/>
      <c r="G781" s="39">
        <f>G782+G792+G795+G789+G798</f>
        <v>5466.66</v>
      </c>
      <c r="H781" s="39">
        <f t="shared" ref="H781:I781" si="344">H782+H792+H795+H789+H798</f>
        <v>5943.67</v>
      </c>
      <c r="I781" s="39">
        <f t="shared" si="344"/>
        <v>5943.67</v>
      </c>
    </row>
    <row r="782" spans="1:11" ht="45">
      <c r="A782" s="278">
        <v>766</v>
      </c>
      <c r="B782" s="115" t="s">
        <v>354</v>
      </c>
      <c r="C782" s="43">
        <v>957</v>
      </c>
      <c r="D782" s="43" t="s">
        <v>93</v>
      </c>
      <c r="E782" s="42">
        <v>8110000210</v>
      </c>
      <c r="F782" s="42"/>
      <c r="G782" s="39">
        <f>G783+G785+G787</f>
        <v>2231.81</v>
      </c>
      <c r="H782" s="39">
        <f t="shared" ref="H782:I782" si="345">H783+H785+H787</f>
        <v>2557.21</v>
      </c>
      <c r="I782" s="39">
        <f t="shared" si="345"/>
        <v>2557.21</v>
      </c>
    </row>
    <row r="783" spans="1:11" ht="45">
      <c r="A783" s="278">
        <v>767</v>
      </c>
      <c r="B783" s="102" t="s">
        <v>17</v>
      </c>
      <c r="C783" s="43">
        <v>957</v>
      </c>
      <c r="D783" s="43" t="s">
        <v>93</v>
      </c>
      <c r="E783" s="42">
        <v>8110000210</v>
      </c>
      <c r="F783" s="42">
        <v>100</v>
      </c>
      <c r="G783" s="39">
        <f>G784</f>
        <v>1375.34</v>
      </c>
      <c r="H783" s="39">
        <f t="shared" ref="H783:I783" si="346">H784</f>
        <v>1435.34</v>
      </c>
      <c r="I783" s="39">
        <f t="shared" si="346"/>
        <v>1435.34</v>
      </c>
    </row>
    <row r="784" spans="1:11">
      <c r="A784" s="278">
        <v>768</v>
      </c>
      <c r="B784" s="102" t="s">
        <v>18</v>
      </c>
      <c r="C784" s="43">
        <v>957</v>
      </c>
      <c r="D784" s="43" t="s">
        <v>93</v>
      </c>
      <c r="E784" s="42">
        <v>8110000210</v>
      </c>
      <c r="F784" s="42">
        <v>120</v>
      </c>
      <c r="G784" s="39">
        <f>1736.28+99.1-400.04-60</f>
        <v>1375.34</v>
      </c>
      <c r="H784" s="39">
        <v>1435.34</v>
      </c>
      <c r="I784" s="39">
        <v>1435.34</v>
      </c>
      <c r="J784" s="240">
        <v>-60</v>
      </c>
      <c r="K784" s="240"/>
    </row>
    <row r="785" spans="1:13">
      <c r="A785" s="278">
        <v>769</v>
      </c>
      <c r="B785" s="102" t="s">
        <v>22</v>
      </c>
      <c r="C785" s="43">
        <v>957</v>
      </c>
      <c r="D785" s="43" t="s">
        <v>93</v>
      </c>
      <c r="E785" s="42">
        <v>8110000210</v>
      </c>
      <c r="F785" s="42">
        <v>200</v>
      </c>
      <c r="G785" s="39">
        <f>G786</f>
        <v>853.46999999999991</v>
      </c>
      <c r="H785" s="39">
        <f t="shared" ref="H785:I785" si="347">H786</f>
        <v>1121.8699999999999</v>
      </c>
      <c r="I785" s="39">
        <f t="shared" si="347"/>
        <v>1121.8699999999999</v>
      </c>
    </row>
    <row r="786" spans="1:13">
      <c r="A786" s="278">
        <v>770</v>
      </c>
      <c r="B786" s="102" t="s">
        <v>23</v>
      </c>
      <c r="C786" s="43">
        <v>957</v>
      </c>
      <c r="D786" s="43" t="s">
        <v>93</v>
      </c>
      <c r="E786" s="42">
        <v>8110000210</v>
      </c>
      <c r="F786" s="42">
        <v>240</v>
      </c>
      <c r="G786" s="39">
        <f>1971.87-3-252-850-13.4</f>
        <v>853.46999999999991</v>
      </c>
      <c r="H786" s="39">
        <v>1121.8699999999999</v>
      </c>
      <c r="I786" s="39">
        <v>1121.8699999999999</v>
      </c>
      <c r="J786" s="110">
        <v>-3</v>
      </c>
      <c r="K786" s="240">
        <v>-252</v>
      </c>
      <c r="L786" s="240">
        <v>-850</v>
      </c>
      <c r="M786" s="241">
        <v>-13.4</v>
      </c>
    </row>
    <row r="787" spans="1:13">
      <c r="A787" s="278">
        <v>771</v>
      </c>
      <c r="B787" s="190" t="s">
        <v>34</v>
      </c>
      <c r="C787" s="189">
        <v>957</v>
      </c>
      <c r="D787" s="189" t="s">
        <v>93</v>
      </c>
      <c r="E787" s="188">
        <v>8110000210</v>
      </c>
      <c r="F787" s="188">
        <v>800</v>
      </c>
      <c r="G787" s="39">
        <f>G788</f>
        <v>3</v>
      </c>
      <c r="H787" s="39">
        <f t="shared" ref="H787:I787" si="348">H788</f>
        <v>0</v>
      </c>
      <c r="I787" s="39">
        <f t="shared" si="348"/>
        <v>0</v>
      </c>
    </row>
    <row r="788" spans="1:13">
      <c r="A788" s="278">
        <v>772</v>
      </c>
      <c r="B788" s="190" t="s">
        <v>83</v>
      </c>
      <c r="C788" s="189">
        <v>957</v>
      </c>
      <c r="D788" s="189" t="s">
        <v>93</v>
      </c>
      <c r="E788" s="188">
        <v>8110000210</v>
      </c>
      <c r="F788" s="188">
        <v>850</v>
      </c>
      <c r="G788" s="39">
        <v>3</v>
      </c>
      <c r="H788" s="39">
        <v>0</v>
      </c>
      <c r="I788" s="39">
        <v>0</v>
      </c>
      <c r="J788" s="110">
        <v>3</v>
      </c>
    </row>
    <row r="789" spans="1:13" ht="45">
      <c r="A789" s="278">
        <v>773</v>
      </c>
      <c r="B789" s="115" t="s">
        <v>355</v>
      </c>
      <c r="C789" s="43" t="s">
        <v>353</v>
      </c>
      <c r="D789" s="43" t="s">
        <v>93</v>
      </c>
      <c r="E789" s="42">
        <v>8110000220</v>
      </c>
      <c r="F789" s="42"/>
      <c r="G789" s="39">
        <f>G790</f>
        <v>400.04</v>
      </c>
      <c r="H789" s="39">
        <f t="shared" ref="H789:I790" si="349">H790</f>
        <v>400.04</v>
      </c>
      <c r="I789" s="39">
        <f t="shared" si="349"/>
        <v>400.04</v>
      </c>
    </row>
    <row r="790" spans="1:13" ht="45">
      <c r="A790" s="278">
        <v>774</v>
      </c>
      <c r="B790" s="102" t="s">
        <v>17</v>
      </c>
      <c r="C790" s="43" t="s">
        <v>353</v>
      </c>
      <c r="D790" s="43" t="s">
        <v>93</v>
      </c>
      <c r="E790" s="42">
        <v>8110000220</v>
      </c>
      <c r="F790" s="42">
        <v>100</v>
      </c>
      <c r="G790" s="39">
        <f>G791</f>
        <v>400.04</v>
      </c>
      <c r="H790" s="39">
        <f t="shared" si="349"/>
        <v>400.04</v>
      </c>
      <c r="I790" s="39">
        <f t="shared" si="349"/>
        <v>400.04</v>
      </c>
    </row>
    <row r="791" spans="1:13">
      <c r="A791" s="278">
        <v>775</v>
      </c>
      <c r="B791" s="102" t="s">
        <v>18</v>
      </c>
      <c r="C791" s="43" t="s">
        <v>353</v>
      </c>
      <c r="D791" s="43" t="s">
        <v>93</v>
      </c>
      <c r="E791" s="42">
        <v>8110000220</v>
      </c>
      <c r="F791" s="42">
        <v>120</v>
      </c>
      <c r="G791" s="39">
        <v>400.04</v>
      </c>
      <c r="H791" s="39">
        <v>400.04</v>
      </c>
      <c r="I791" s="39">
        <v>400.04</v>
      </c>
    </row>
    <row r="792" spans="1:13" ht="46.5" customHeight="1">
      <c r="A792" s="278">
        <v>776</v>
      </c>
      <c r="B792" s="226" t="s">
        <v>475</v>
      </c>
      <c r="C792" s="43">
        <v>957</v>
      </c>
      <c r="D792" s="43" t="s">
        <v>93</v>
      </c>
      <c r="E792" s="42">
        <v>8110000230</v>
      </c>
      <c r="F792" s="42"/>
      <c r="G792" s="39">
        <f>G793</f>
        <v>819.18000000000006</v>
      </c>
      <c r="H792" s="39">
        <f t="shared" ref="H792:I792" si="350">H793</f>
        <v>1439.18</v>
      </c>
      <c r="I792" s="39">
        <f t="shared" si="350"/>
        <v>1439.18</v>
      </c>
    </row>
    <row r="793" spans="1:13" ht="45">
      <c r="A793" s="278">
        <v>777</v>
      </c>
      <c r="B793" s="102" t="s">
        <v>17</v>
      </c>
      <c r="C793" s="43">
        <v>957</v>
      </c>
      <c r="D793" s="43" t="s">
        <v>93</v>
      </c>
      <c r="E793" s="42">
        <v>8110000230</v>
      </c>
      <c r="F793" s="42">
        <v>100</v>
      </c>
      <c r="G793" s="39">
        <f>G794</f>
        <v>819.18000000000006</v>
      </c>
      <c r="H793" s="39">
        <f t="shared" ref="H793:I793" si="351">H794</f>
        <v>1439.18</v>
      </c>
      <c r="I793" s="39">
        <f t="shared" si="351"/>
        <v>1439.18</v>
      </c>
    </row>
    <row r="794" spans="1:13">
      <c r="A794" s="278">
        <v>778</v>
      </c>
      <c r="B794" s="102" t="s">
        <v>18</v>
      </c>
      <c r="C794" s="43">
        <v>957</v>
      </c>
      <c r="D794" s="43" t="s">
        <v>93</v>
      </c>
      <c r="E794" s="42">
        <v>8110000230</v>
      </c>
      <c r="F794" s="42">
        <v>120</v>
      </c>
      <c r="G794" s="39">
        <f>1439.18-620</f>
        <v>819.18000000000006</v>
      </c>
      <c r="H794" s="39">
        <v>1439.18</v>
      </c>
      <c r="I794" s="39">
        <v>1439.18</v>
      </c>
      <c r="J794" s="240">
        <v>-620</v>
      </c>
    </row>
    <row r="795" spans="1:13">
      <c r="A795" s="278">
        <v>779</v>
      </c>
      <c r="B795" s="115" t="s">
        <v>352</v>
      </c>
      <c r="C795" s="55">
        <v>957</v>
      </c>
      <c r="D795" s="43" t="s">
        <v>93</v>
      </c>
      <c r="E795" s="59">
        <v>8110000240</v>
      </c>
      <c r="F795" s="59"/>
      <c r="G795" s="39">
        <f>G796</f>
        <v>1517.24</v>
      </c>
      <c r="H795" s="39">
        <f t="shared" ref="H795:I795" si="352">H796</f>
        <v>1547.24</v>
      </c>
      <c r="I795" s="39">
        <f t="shared" si="352"/>
        <v>1547.24</v>
      </c>
    </row>
    <row r="796" spans="1:13" ht="45">
      <c r="A796" s="278">
        <v>780</v>
      </c>
      <c r="B796" s="102" t="s">
        <v>17</v>
      </c>
      <c r="C796" s="55">
        <v>957</v>
      </c>
      <c r="D796" s="43" t="s">
        <v>93</v>
      </c>
      <c r="E796" s="59">
        <v>8110000240</v>
      </c>
      <c r="F796" s="59">
        <v>100</v>
      </c>
      <c r="G796" s="39">
        <f>G797</f>
        <v>1517.24</v>
      </c>
      <c r="H796" s="39">
        <f t="shared" ref="H796:I796" si="353">H797</f>
        <v>1547.24</v>
      </c>
      <c r="I796" s="39">
        <f t="shared" si="353"/>
        <v>1547.24</v>
      </c>
    </row>
    <row r="797" spans="1:13">
      <c r="A797" s="278">
        <v>781</v>
      </c>
      <c r="B797" s="102" t="s">
        <v>18</v>
      </c>
      <c r="C797" s="55">
        <v>957</v>
      </c>
      <c r="D797" s="43" t="s">
        <v>93</v>
      </c>
      <c r="E797" s="59">
        <v>8110000240</v>
      </c>
      <c r="F797" s="59">
        <v>120</v>
      </c>
      <c r="G797" s="39">
        <f>1547.24-30</f>
        <v>1517.24</v>
      </c>
      <c r="H797" s="39">
        <v>1547.24</v>
      </c>
      <c r="I797" s="39">
        <v>1547.24</v>
      </c>
      <c r="J797" s="240">
        <v>-30</v>
      </c>
    </row>
    <row r="798" spans="1:13" ht="30">
      <c r="A798" s="278">
        <v>782</v>
      </c>
      <c r="B798" s="190" t="s">
        <v>519</v>
      </c>
      <c r="C798" s="55" t="s">
        <v>353</v>
      </c>
      <c r="D798" s="189" t="s">
        <v>93</v>
      </c>
      <c r="E798" s="134">
        <v>8110010360</v>
      </c>
      <c r="F798" s="134"/>
      <c r="G798" s="39">
        <f>G799</f>
        <v>498.39</v>
      </c>
      <c r="H798" s="39">
        <f t="shared" ref="H798:I799" si="354">H799</f>
        <v>0</v>
      </c>
      <c r="I798" s="39">
        <f t="shared" si="354"/>
        <v>0</v>
      </c>
    </row>
    <row r="799" spans="1:13" ht="45">
      <c r="A799" s="278">
        <v>783</v>
      </c>
      <c r="B799" s="190" t="s">
        <v>17</v>
      </c>
      <c r="C799" s="55" t="s">
        <v>353</v>
      </c>
      <c r="D799" s="189" t="s">
        <v>93</v>
      </c>
      <c r="E799" s="134">
        <v>8110010360</v>
      </c>
      <c r="F799" s="134">
        <v>100</v>
      </c>
      <c r="G799" s="39">
        <f>G800</f>
        <v>498.39</v>
      </c>
      <c r="H799" s="39">
        <f t="shared" si="354"/>
        <v>0</v>
      </c>
      <c r="I799" s="39">
        <f t="shared" si="354"/>
        <v>0</v>
      </c>
    </row>
    <row r="800" spans="1:13">
      <c r="A800" s="278">
        <v>784</v>
      </c>
      <c r="B800" s="190" t="s">
        <v>18</v>
      </c>
      <c r="C800" s="55" t="s">
        <v>353</v>
      </c>
      <c r="D800" s="189" t="s">
        <v>93</v>
      </c>
      <c r="E800" s="134">
        <v>8110010360</v>
      </c>
      <c r="F800" s="134">
        <v>120</v>
      </c>
      <c r="G800" s="39">
        <f>498.39</f>
        <v>498.39</v>
      </c>
      <c r="H800" s="39">
        <v>0</v>
      </c>
      <c r="I800" s="39">
        <v>0</v>
      </c>
      <c r="J800" s="201">
        <v>498.39</v>
      </c>
    </row>
    <row r="801" spans="1:13">
      <c r="A801" s="278">
        <v>785</v>
      </c>
      <c r="B801" s="115" t="s">
        <v>136</v>
      </c>
      <c r="C801" s="59"/>
      <c r="D801" s="59"/>
      <c r="E801" s="59"/>
      <c r="F801" s="59"/>
      <c r="G801" s="49"/>
      <c r="H801" s="39">
        <v>26739.200000000001</v>
      </c>
      <c r="I801" s="39">
        <v>49596.1</v>
      </c>
    </row>
    <row r="802" spans="1:13">
      <c r="A802" s="278">
        <v>786</v>
      </c>
      <c r="B802" s="51" t="s">
        <v>85</v>
      </c>
      <c r="C802" s="52"/>
      <c r="D802" s="52"/>
      <c r="E802" s="52"/>
      <c r="F802" s="52"/>
      <c r="G802" s="53">
        <f>G17+G169+G403+G424+G447+G470+G482+G508+G632+G762+G777+G750</f>
        <v>1267373.7472799998</v>
      </c>
      <c r="H802" s="53">
        <f>H17+H169+H403+H424+H447+H470+H482+H508+H632+H762+H777+H750+H801</f>
        <v>1100136.7590000001</v>
      </c>
      <c r="I802" s="53">
        <f>I17+I169+I403+I424+I447+I470+I482+I508+I632+I762+I777+I750+I801</f>
        <v>1039303.6049999999</v>
      </c>
    </row>
    <row r="803" spans="1:13">
      <c r="C803" s="54"/>
      <c r="D803" s="54"/>
      <c r="E803" s="54"/>
      <c r="M803" s="251"/>
    </row>
    <row r="804" spans="1:13">
      <c r="H804" s="27">
        <f>H801/H802*100</f>
        <v>2.4305341841595531</v>
      </c>
      <c r="I804" s="27">
        <f>I801/I802*100</f>
        <v>4.7720511851779834</v>
      </c>
    </row>
    <row r="807" spans="1:13">
      <c r="J807" s="110">
        <f>J34+J48+J58+J65+J78+J81+J85+J92+J95+J107+J110+J113+J122+J160+J165+J179+J195+J204+J225+J228+J233+J249+J258+J268+J288+J305+J338+J340+J347+J353+J370+J388+J417+J438+J444+J461+J499+J521+J524+J542+J545+J548+J554+J563+J565+J569+J572+J585+J588+J608+J618+J623+J642+J645+J660+J687+J703+J713+J716+J722+J735+J755+J776+J800</f>
        <v>148398.08000000002</v>
      </c>
    </row>
    <row r="808" spans="1:13">
      <c r="J808" s="110">
        <f>J24+K24+J26+J31+K51+J101+J116+J125+J129+J132+J185+J210+J222+J241+J244+K288+J292++J295+K305+J311+K347+J362+M370+J382+J385+J395+K400+J410+J412+J431+J433+K454+K456+L454+L456+J467+J469+J477+K479+J491+J496+J504+J507+J515+J536+J639+J657+K657+J670+J684+J691+J697+J709+J728+J730+J745+J749+J769+J771+J784+K786+L786+J794+J797</f>
        <v>6870</v>
      </c>
    </row>
    <row r="809" spans="1:13">
      <c r="J809" s="110">
        <f>J807+J808</f>
        <v>155268.08000000002</v>
      </c>
    </row>
  </sheetData>
  <autoFilter ref="A17:M802"/>
  <mergeCells count="2">
    <mergeCell ref="A11:I11"/>
    <mergeCell ref="A12:I12"/>
  </mergeCells>
  <printOptions horizontalCentered="1"/>
  <pageMargins left="0.39370078740157483" right="0.39370078740157483" top="0.94488188976377963" bottom="0.39370078740157483" header="0.31496062992125984" footer="0.31496062992125984"/>
  <pageSetup paperSize="9" scale="69" orientation="landscape" r:id="rId1"/>
  <legacyDrawing r:id="rId2"/>
</worksheet>
</file>

<file path=xl/worksheets/sheet3.xml><?xml version="1.0" encoding="utf-8"?>
<worksheet xmlns="http://schemas.openxmlformats.org/spreadsheetml/2006/main" xmlns:r="http://schemas.openxmlformats.org/officeDocument/2006/relationships">
  <sheetPr>
    <pageSetUpPr fitToPage="1"/>
  </sheetPr>
  <dimension ref="A1:H389"/>
  <sheetViews>
    <sheetView zoomScaleSheetLayoutView="95" workbookViewId="0">
      <selection activeCell="E4" sqref="E4"/>
    </sheetView>
  </sheetViews>
  <sheetFormatPr defaultRowHeight="15"/>
  <cols>
    <col min="1" max="1" width="5.85546875" style="57" customWidth="1"/>
    <col min="2" max="2" width="72.42578125" style="24" customWidth="1"/>
    <col min="3" max="3" width="15.140625" style="25" customWidth="1"/>
    <col min="4" max="4" width="9.140625" style="25" customWidth="1"/>
    <col min="5" max="5" width="12.28515625" style="25" customWidth="1"/>
    <col min="6" max="6" width="16" style="25" customWidth="1"/>
    <col min="7" max="7" width="17.42578125" style="25" customWidth="1"/>
    <col min="8" max="8" width="16.5703125" style="25" customWidth="1"/>
    <col min="9" max="16384" width="9.140625" style="20"/>
  </cols>
  <sheetData>
    <row r="1" spans="1:8">
      <c r="E1" s="26" t="s">
        <v>156</v>
      </c>
    </row>
    <row r="2" spans="1:8">
      <c r="E2" s="28" t="s">
        <v>157</v>
      </c>
    </row>
    <row r="3" spans="1:8">
      <c r="E3" s="28" t="s">
        <v>257</v>
      </c>
    </row>
    <row r="4" spans="1:8">
      <c r="E4" s="28" t="s">
        <v>594</v>
      </c>
    </row>
    <row r="5" spans="1:8">
      <c r="E5" s="28"/>
    </row>
    <row r="6" spans="1:8">
      <c r="E6" s="26" t="s">
        <v>159</v>
      </c>
    </row>
    <row r="7" spans="1:8">
      <c r="E7" s="28" t="s">
        <v>157</v>
      </c>
    </row>
    <row r="8" spans="1:8">
      <c r="E8" s="28" t="s">
        <v>257</v>
      </c>
    </row>
    <row r="9" spans="1:8">
      <c r="E9" s="28" t="s">
        <v>585</v>
      </c>
    </row>
    <row r="10" spans="1:8">
      <c r="E10" s="28"/>
    </row>
    <row r="11" spans="1:8" ht="51.75" customHeight="1">
      <c r="A11" s="327" t="s">
        <v>336</v>
      </c>
      <c r="B11" s="327"/>
      <c r="C11" s="327"/>
      <c r="D11" s="327"/>
      <c r="E11" s="327"/>
      <c r="F11" s="327"/>
      <c r="G11" s="327"/>
      <c r="H11" s="327"/>
    </row>
    <row r="12" spans="1:8">
      <c r="A12" s="31"/>
      <c r="B12" s="32"/>
      <c r="C12" s="33"/>
      <c r="D12" s="33"/>
      <c r="E12" s="33"/>
      <c r="G12" s="328" t="s">
        <v>0</v>
      </c>
      <c r="H12" s="328"/>
    </row>
    <row r="13" spans="1:8" ht="45">
      <c r="A13" s="34" t="s">
        <v>1</v>
      </c>
      <c r="B13" s="34" t="s">
        <v>2</v>
      </c>
      <c r="C13" s="35" t="s">
        <v>5</v>
      </c>
      <c r="D13" s="35" t="s">
        <v>6</v>
      </c>
      <c r="E13" s="35" t="s">
        <v>86</v>
      </c>
      <c r="F13" s="58" t="s">
        <v>172</v>
      </c>
      <c r="G13" s="58" t="s">
        <v>325</v>
      </c>
      <c r="H13" s="58" t="s">
        <v>487</v>
      </c>
    </row>
    <row r="14" spans="1:8">
      <c r="A14" s="37"/>
      <c r="B14" s="35" t="s">
        <v>7</v>
      </c>
      <c r="C14" s="35" t="s">
        <v>8</v>
      </c>
      <c r="D14" s="35" t="s">
        <v>9</v>
      </c>
      <c r="E14" s="35" t="s">
        <v>10</v>
      </c>
      <c r="F14" s="35" t="s">
        <v>11</v>
      </c>
      <c r="G14" s="42">
        <v>6</v>
      </c>
      <c r="H14" s="42">
        <v>7</v>
      </c>
    </row>
    <row r="15" spans="1:8" ht="42.75">
      <c r="A15" s="42">
        <v>1</v>
      </c>
      <c r="B15" s="142" t="s">
        <v>258</v>
      </c>
      <c r="C15" s="83" t="s">
        <v>401</v>
      </c>
      <c r="D15" s="42"/>
      <c r="E15" s="43"/>
      <c r="F15" s="85">
        <f>F16+F18</f>
        <v>119.47</v>
      </c>
      <c r="G15" s="85">
        <f t="shared" ref="G15:H15" si="0">G16+G18</f>
        <v>139.47</v>
      </c>
      <c r="H15" s="85">
        <f t="shared" si="0"/>
        <v>139.47</v>
      </c>
    </row>
    <row r="16" spans="1:8" ht="30">
      <c r="A16" s="42">
        <v>2</v>
      </c>
      <c r="B16" s="143" t="s">
        <v>342</v>
      </c>
      <c r="C16" s="74" t="s">
        <v>395</v>
      </c>
      <c r="D16" s="105"/>
      <c r="E16" s="74" t="s">
        <v>266</v>
      </c>
      <c r="F16" s="62">
        <f>F17</f>
        <v>71.37</v>
      </c>
      <c r="G16" s="62">
        <f t="shared" ref="G16:H16" si="1">G17</f>
        <v>81.37</v>
      </c>
      <c r="H16" s="62">
        <f t="shared" si="1"/>
        <v>81.37</v>
      </c>
    </row>
    <row r="17" spans="1:8" ht="75">
      <c r="A17" s="42">
        <v>3</v>
      </c>
      <c r="B17" s="122" t="s">
        <v>399</v>
      </c>
      <c r="C17" s="141" t="str">
        <f>'приложение 6'!E743</f>
        <v>0110080070</v>
      </c>
      <c r="D17" s="140">
        <v>610</v>
      </c>
      <c r="E17" s="141" t="s">
        <v>266</v>
      </c>
      <c r="F17" s="84">
        <f>'приложение 6'!G745</f>
        <v>71.37</v>
      </c>
      <c r="G17" s="84">
        <f>'приложение 6'!H745</f>
        <v>81.37</v>
      </c>
      <c r="H17" s="84">
        <f>'приложение 6'!I745</f>
        <v>81.37</v>
      </c>
    </row>
    <row r="18" spans="1:8" ht="47.25">
      <c r="A18" s="42">
        <v>4</v>
      </c>
      <c r="B18" s="144" t="s">
        <v>343</v>
      </c>
      <c r="C18" s="74" t="s">
        <v>397</v>
      </c>
      <c r="D18" s="105"/>
      <c r="E18" s="74" t="s">
        <v>266</v>
      </c>
      <c r="F18" s="62">
        <f>F19</f>
        <v>48.1</v>
      </c>
      <c r="G18" s="62">
        <f t="shared" ref="G18:H18" si="2">G19</f>
        <v>58.1</v>
      </c>
      <c r="H18" s="62">
        <f t="shared" si="2"/>
        <v>58.1</v>
      </c>
    </row>
    <row r="19" spans="1:8" ht="94.5">
      <c r="A19" s="42">
        <v>5</v>
      </c>
      <c r="B19" s="130" t="s">
        <v>400</v>
      </c>
      <c r="C19" s="184" t="s">
        <v>398</v>
      </c>
      <c r="D19" s="42">
        <v>610</v>
      </c>
      <c r="E19" s="43" t="s">
        <v>266</v>
      </c>
      <c r="F19" s="39">
        <f>'приложение 6'!G749</f>
        <v>48.1</v>
      </c>
      <c r="G19" s="39">
        <f>'приложение 6'!H749</f>
        <v>58.1</v>
      </c>
      <c r="H19" s="39">
        <f>'приложение 6'!I749</f>
        <v>58.1</v>
      </c>
    </row>
    <row r="20" spans="1:8" ht="28.5">
      <c r="A20" s="42">
        <v>6</v>
      </c>
      <c r="B20" s="149" t="s">
        <v>228</v>
      </c>
      <c r="C20" s="82" t="str">
        <f>'приложение 6'!E427</f>
        <v>0200000000</v>
      </c>
      <c r="D20" s="82"/>
      <c r="E20" s="83"/>
      <c r="F20" s="85">
        <f>F21+F25+F33+F41+F56</f>
        <v>117321.66156000001</v>
      </c>
      <c r="G20" s="85">
        <f>G21+G25+G33+G41+G56</f>
        <v>110154.71</v>
      </c>
      <c r="H20" s="85">
        <f>H21+H25+H33+H41+H56</f>
        <v>109873.96</v>
      </c>
    </row>
    <row r="21" spans="1:8">
      <c r="A21" s="42">
        <v>7</v>
      </c>
      <c r="B21" s="68" t="s">
        <v>72</v>
      </c>
      <c r="C21" s="105" t="str">
        <f>'приложение 6'!E678</f>
        <v>0210000000</v>
      </c>
      <c r="D21" s="82"/>
      <c r="E21" s="83"/>
      <c r="F21" s="62">
        <f>F22+F23+F24</f>
        <v>22248.73</v>
      </c>
      <c r="G21" s="62">
        <f t="shared" ref="G21:H21" si="3">G22+G23+G24</f>
        <v>21663.87</v>
      </c>
      <c r="H21" s="62">
        <f t="shared" si="3"/>
        <v>21663.87</v>
      </c>
    </row>
    <row r="22" spans="1:8" ht="45">
      <c r="A22" s="42">
        <v>8</v>
      </c>
      <c r="B22" s="126" t="s">
        <v>388</v>
      </c>
      <c r="C22" s="42" t="str">
        <f>'приложение 6'!E679</f>
        <v>0210000610</v>
      </c>
      <c r="D22" s="42">
        <v>610</v>
      </c>
      <c r="E22" s="43" t="s">
        <v>126</v>
      </c>
      <c r="F22" s="39">
        <f>'приложение 6'!G681</f>
        <v>17752.82</v>
      </c>
      <c r="G22" s="39">
        <f>'приложение 6'!H681</f>
        <v>17752.82</v>
      </c>
      <c r="H22" s="39">
        <f>'приложение 6'!I681</f>
        <v>17752.82</v>
      </c>
    </row>
    <row r="23" spans="1:8" ht="45">
      <c r="A23" s="42">
        <v>9</v>
      </c>
      <c r="B23" s="126" t="s">
        <v>389</v>
      </c>
      <c r="C23" s="42" t="str">
        <f>'приложение 6'!E682</f>
        <v>0210000630</v>
      </c>
      <c r="D23" s="42">
        <v>610</v>
      </c>
      <c r="E23" s="43" t="s">
        <v>126</v>
      </c>
      <c r="F23" s="39">
        <f>'приложение 6'!G684</f>
        <v>3887.05</v>
      </c>
      <c r="G23" s="39">
        <f>'приложение 6'!H684</f>
        <v>3911.05</v>
      </c>
      <c r="H23" s="39">
        <f>'приложение 6'!I684</f>
        <v>3911.05</v>
      </c>
    </row>
    <row r="24" spans="1:8" ht="60">
      <c r="A24" s="191">
        <v>10</v>
      </c>
      <c r="B24" s="232" t="s">
        <v>569</v>
      </c>
      <c r="C24" s="192" t="str">
        <f>'приложение 6'!E687</f>
        <v>0210010480</v>
      </c>
      <c r="D24" s="191">
        <v>610</v>
      </c>
      <c r="E24" s="192" t="s">
        <v>126</v>
      </c>
      <c r="F24" s="39">
        <f>'приложение 6'!G687</f>
        <v>608.86</v>
      </c>
      <c r="G24" s="39">
        <f>'приложение 6'!H687</f>
        <v>0</v>
      </c>
      <c r="H24" s="39">
        <f>'приложение 6'!I687</f>
        <v>0</v>
      </c>
    </row>
    <row r="25" spans="1:8">
      <c r="A25" s="42">
        <v>11</v>
      </c>
      <c r="B25" s="185" t="s">
        <v>64</v>
      </c>
      <c r="C25" s="74" t="s">
        <v>199</v>
      </c>
      <c r="D25" s="82"/>
      <c r="E25" s="83"/>
      <c r="F25" s="62">
        <f>F26+F27+F31+F32+F28+F30+F29</f>
        <v>2296.0000000000005</v>
      </c>
      <c r="G25" s="62">
        <f t="shared" ref="G25:H25" si="4">G26+G27+G31+G32+G28+G30+G29</f>
        <v>2469.3300000000004</v>
      </c>
      <c r="H25" s="62">
        <f t="shared" si="4"/>
        <v>2469.3300000000004</v>
      </c>
    </row>
    <row r="26" spans="1:8">
      <c r="A26" s="315">
        <v>12</v>
      </c>
      <c r="B26" s="316" t="s">
        <v>65</v>
      </c>
      <c r="C26" s="315" t="str">
        <f>'приложение 6'!E430</f>
        <v>0220000610</v>
      </c>
      <c r="D26" s="42">
        <v>110</v>
      </c>
      <c r="E26" s="43" t="s">
        <v>97</v>
      </c>
      <c r="F26" s="39">
        <f>'приложение 6'!G431</f>
        <v>1170.1300000000001</v>
      </c>
      <c r="G26" s="39">
        <f>'приложение 6'!H431</f>
        <v>1400.13</v>
      </c>
      <c r="H26" s="39">
        <f>'приложение 6'!I431</f>
        <v>1400.13</v>
      </c>
    </row>
    <row r="27" spans="1:8">
      <c r="A27" s="315"/>
      <c r="B27" s="316"/>
      <c r="C27" s="315"/>
      <c r="D27" s="42">
        <v>240</v>
      </c>
      <c r="E27" s="43" t="s">
        <v>97</v>
      </c>
      <c r="F27" s="39">
        <f>'приложение 6'!G433</f>
        <v>764</v>
      </c>
      <c r="G27" s="39">
        <f>'приложение 6'!H433</f>
        <v>794</v>
      </c>
      <c r="H27" s="39">
        <f>'приложение 6'!I433</f>
        <v>794</v>
      </c>
    </row>
    <row r="28" spans="1:8">
      <c r="A28" s="315"/>
      <c r="B28" s="316"/>
      <c r="C28" s="315"/>
      <c r="D28" s="42">
        <v>850</v>
      </c>
      <c r="E28" s="43" t="s">
        <v>97</v>
      </c>
      <c r="F28" s="39">
        <f>'приложение 6'!G435</f>
        <v>0.5</v>
      </c>
      <c r="G28" s="39">
        <f>'приложение 6'!H435</f>
        <v>0.5</v>
      </c>
      <c r="H28" s="39">
        <f>'приложение 6'!I435</f>
        <v>0.5</v>
      </c>
    </row>
    <row r="29" spans="1:8" ht="30">
      <c r="A29" s="188">
        <v>13</v>
      </c>
      <c r="B29" s="190" t="s">
        <v>519</v>
      </c>
      <c r="C29" s="189" t="str">
        <f>'приложение 6'!E438</f>
        <v>0220010360</v>
      </c>
      <c r="D29" s="188">
        <v>110</v>
      </c>
      <c r="E29" s="189" t="s">
        <v>97</v>
      </c>
      <c r="F29" s="39">
        <f>'приложение 6'!G438</f>
        <v>73.86</v>
      </c>
      <c r="G29" s="39">
        <f>'приложение 6'!H438</f>
        <v>0</v>
      </c>
      <c r="H29" s="39">
        <f>'приложение 6'!I438</f>
        <v>0</v>
      </c>
    </row>
    <row r="30" spans="1:8" ht="45">
      <c r="A30" s="42">
        <v>14</v>
      </c>
      <c r="B30" s="101" t="s">
        <v>364</v>
      </c>
      <c r="C30" s="43" t="str">
        <f>'приложение 6'!E439</f>
        <v>0220010490</v>
      </c>
      <c r="D30" s="42">
        <v>110</v>
      </c>
      <c r="E30" s="43" t="s">
        <v>97</v>
      </c>
      <c r="F30" s="39">
        <f>'приложение 6'!G441</f>
        <v>21.51</v>
      </c>
      <c r="G30" s="39">
        <f>'приложение 6'!H441</f>
        <v>0</v>
      </c>
      <c r="H30" s="39">
        <f>'приложение 6'!I441</f>
        <v>0</v>
      </c>
    </row>
    <row r="31" spans="1:8">
      <c r="A31" s="315">
        <v>15</v>
      </c>
      <c r="B31" s="321" t="s">
        <v>67</v>
      </c>
      <c r="C31" s="315" t="str">
        <f>'приложение 6'!E442</f>
        <v>0220075190</v>
      </c>
      <c r="D31" s="42">
        <v>110</v>
      </c>
      <c r="E31" s="43" t="s">
        <v>97</v>
      </c>
      <c r="F31" s="39">
        <f>'приложение 6'!G444</f>
        <v>221.1</v>
      </c>
      <c r="G31" s="39">
        <f>'приложение 6'!H444</f>
        <v>229.8</v>
      </c>
      <c r="H31" s="39">
        <f>'приложение 6'!I444</f>
        <v>229.8</v>
      </c>
    </row>
    <row r="32" spans="1:8">
      <c r="A32" s="315"/>
      <c r="B32" s="321"/>
      <c r="C32" s="315"/>
      <c r="D32" s="42">
        <v>240</v>
      </c>
      <c r="E32" s="43" t="s">
        <v>97</v>
      </c>
      <c r="F32" s="39">
        <f>'приложение 6'!G446</f>
        <v>44.9</v>
      </c>
      <c r="G32" s="39">
        <f>'приложение 6'!H446</f>
        <v>44.9</v>
      </c>
      <c r="H32" s="39">
        <f>'приложение 6'!I446</f>
        <v>44.9</v>
      </c>
    </row>
    <row r="33" spans="1:8">
      <c r="A33" s="42">
        <v>16</v>
      </c>
      <c r="B33" s="145" t="s">
        <v>73</v>
      </c>
      <c r="C33" s="74" t="s">
        <v>224</v>
      </c>
      <c r="D33" s="82"/>
      <c r="E33" s="83"/>
      <c r="F33" s="62">
        <f>F34+F35+F36+F38+F39+F40+F37</f>
        <v>56681.035559999997</v>
      </c>
      <c r="G33" s="62">
        <f t="shared" ref="G33:H33" si="5">G34+G35+G36+G38+G39+G40+G37</f>
        <v>51476.82</v>
      </c>
      <c r="H33" s="62">
        <f t="shared" si="5"/>
        <v>51210.07</v>
      </c>
    </row>
    <row r="34" spans="1:8" ht="45">
      <c r="A34" s="42">
        <v>17</v>
      </c>
      <c r="B34" s="126" t="s">
        <v>390</v>
      </c>
      <c r="C34" s="42" t="str">
        <f>'приложение 6'!E689</f>
        <v>0230000640</v>
      </c>
      <c r="D34" s="42">
        <v>610</v>
      </c>
      <c r="E34" s="43" t="s">
        <v>126</v>
      </c>
      <c r="F34" s="39">
        <f>'приложение 6'!G691</f>
        <v>13878.17</v>
      </c>
      <c r="G34" s="39">
        <f>'приложение 6'!H691</f>
        <v>13925.82</v>
      </c>
      <c r="H34" s="39">
        <f>'приложение 6'!I691</f>
        <v>13925.82</v>
      </c>
    </row>
    <row r="35" spans="1:8" ht="45">
      <c r="A35" s="42">
        <v>18</v>
      </c>
      <c r="B35" s="126" t="s">
        <v>391</v>
      </c>
      <c r="C35" s="42" t="str">
        <f>'приложение 6'!E695</f>
        <v>0230000650</v>
      </c>
      <c r="D35" s="42">
        <v>610</v>
      </c>
      <c r="E35" s="43" t="s">
        <v>126</v>
      </c>
      <c r="F35" s="39">
        <f>'приложение 6'!G697</f>
        <v>19681.239999999998</v>
      </c>
      <c r="G35" s="39">
        <f>'приложение 6'!H697</f>
        <v>19027.78</v>
      </c>
      <c r="H35" s="39">
        <f>'приложение 6'!I697</f>
        <v>19027.78</v>
      </c>
    </row>
    <row r="36" spans="1:8" ht="45">
      <c r="A36" s="42">
        <v>19</v>
      </c>
      <c r="B36" s="126" t="s">
        <v>392</v>
      </c>
      <c r="C36" s="42" t="str">
        <f>'приложение 6'!E698</f>
        <v>0230000660</v>
      </c>
      <c r="D36" s="42">
        <v>610</v>
      </c>
      <c r="E36" s="43" t="s">
        <v>126</v>
      </c>
      <c r="F36" s="39">
        <f>'приложение 6'!G700</f>
        <v>16466.93</v>
      </c>
      <c r="G36" s="39">
        <f>'приложение 6'!H700</f>
        <v>13112.67</v>
      </c>
      <c r="H36" s="39">
        <f>'приложение 6'!I700</f>
        <v>13112.67</v>
      </c>
    </row>
    <row r="37" spans="1:8" ht="60">
      <c r="A37" s="191">
        <v>20</v>
      </c>
      <c r="B37" s="232" t="s">
        <v>569</v>
      </c>
      <c r="C37" s="192" t="str">
        <f>'приложение 6'!E703</f>
        <v>0230010480</v>
      </c>
      <c r="D37" s="191">
        <v>610</v>
      </c>
      <c r="E37" s="192" t="s">
        <v>126</v>
      </c>
      <c r="F37" s="39">
        <f>'приложение 6'!G703</f>
        <v>1044.1400000000001</v>
      </c>
      <c r="G37" s="39">
        <f>'приложение 6'!H703</f>
        <v>0</v>
      </c>
      <c r="H37" s="39">
        <f>'приложение 6'!I703</f>
        <v>0</v>
      </c>
    </row>
    <row r="38" spans="1:8" ht="75">
      <c r="A38" s="42">
        <v>21</v>
      </c>
      <c r="B38" s="253" t="s">
        <v>587</v>
      </c>
      <c r="C38" s="43" t="str">
        <f>'приложение 6'!E692</f>
        <v>02300L4660</v>
      </c>
      <c r="D38" s="42">
        <v>610</v>
      </c>
      <c r="E38" s="43" t="s">
        <v>126</v>
      </c>
      <c r="F38" s="39">
        <f>'приложение 6'!G694</f>
        <v>5410.5555599999998</v>
      </c>
      <c r="G38" s="39">
        <f>'приложение 6'!H694</f>
        <v>5410.55</v>
      </c>
      <c r="H38" s="39">
        <f>'приложение 6'!I694</f>
        <v>5143.8</v>
      </c>
    </row>
    <row r="39" spans="1:8" ht="45">
      <c r="A39" s="42">
        <v>22</v>
      </c>
      <c r="B39" s="101" t="s">
        <v>472</v>
      </c>
      <c r="C39" s="43" t="str">
        <f>'приложение 6'!E704</f>
        <v>0230080250</v>
      </c>
      <c r="D39" s="42">
        <v>610</v>
      </c>
      <c r="E39" s="43" t="s">
        <v>126</v>
      </c>
      <c r="F39" s="39">
        <f>'приложение 6'!G706</f>
        <v>150</v>
      </c>
      <c r="G39" s="39">
        <f>'приложение 6'!H706</f>
        <v>0</v>
      </c>
      <c r="H39" s="39">
        <f>'приложение 6'!I706</f>
        <v>0</v>
      </c>
    </row>
    <row r="40" spans="1:8" ht="45">
      <c r="A40" s="42">
        <v>23</v>
      </c>
      <c r="B40" s="101" t="s">
        <v>403</v>
      </c>
      <c r="C40" s="43" t="str">
        <f>'приложение 6'!E709</f>
        <v>0230080260</v>
      </c>
      <c r="D40" s="42">
        <v>610</v>
      </c>
      <c r="E40" s="43" t="s">
        <v>126</v>
      </c>
      <c r="F40" s="39">
        <f>'приложение 6'!G709</f>
        <v>50</v>
      </c>
      <c r="G40" s="39">
        <f>'приложение 6'!H709</f>
        <v>0</v>
      </c>
      <c r="H40" s="39">
        <f>'приложение 6'!I709</f>
        <v>0</v>
      </c>
    </row>
    <row r="41" spans="1:8" ht="30">
      <c r="A41" s="42">
        <v>24</v>
      </c>
      <c r="B41" s="185" t="s">
        <v>69</v>
      </c>
      <c r="C41" s="74" t="s">
        <v>217</v>
      </c>
      <c r="D41" s="82"/>
      <c r="E41" s="83"/>
      <c r="F41" s="62">
        <f>F42+F46+F47+F48+F49+F50+F51+F53+F54+F55+F43+F44+F45+F52</f>
        <v>36095.896000000008</v>
      </c>
      <c r="G41" s="62">
        <f t="shared" ref="G41:H41" si="6">G42+G46+G47+G48+G49+G50+G51+G53+G54+G55+G43+G44+G45+G52</f>
        <v>34544.69</v>
      </c>
      <c r="H41" s="62">
        <f t="shared" si="6"/>
        <v>34530.69</v>
      </c>
    </row>
    <row r="42" spans="1:8" ht="60">
      <c r="A42" s="42">
        <v>25</v>
      </c>
      <c r="B42" s="135" t="s">
        <v>384</v>
      </c>
      <c r="C42" s="42" t="str">
        <f>'приложение 6'!E637</f>
        <v>0240000610</v>
      </c>
      <c r="D42" s="42">
        <v>610</v>
      </c>
      <c r="E42" s="43" t="s">
        <v>176</v>
      </c>
      <c r="F42" s="39">
        <f>'приложение 6'!G639</f>
        <v>30910.33</v>
      </c>
      <c r="G42" s="39">
        <f>'приложение 6'!H639</f>
        <v>30460.33</v>
      </c>
      <c r="H42" s="39">
        <f>'приложение 6'!I639</f>
        <v>30460.33</v>
      </c>
    </row>
    <row r="43" spans="1:8" ht="30">
      <c r="A43" s="191">
        <v>26</v>
      </c>
      <c r="B43" s="195" t="s">
        <v>519</v>
      </c>
      <c r="C43" s="192" t="str">
        <f>'приложение 6'!E642</f>
        <v>0240010360</v>
      </c>
      <c r="D43" s="191">
        <v>610</v>
      </c>
      <c r="E43" s="192" t="s">
        <v>176</v>
      </c>
      <c r="F43" s="39">
        <f>'приложение 6'!G642</f>
        <v>185.11199999999999</v>
      </c>
      <c r="G43" s="39">
        <f>'приложение 6'!H642</f>
        <v>0</v>
      </c>
      <c r="H43" s="39">
        <f>'приложение 6'!I642</f>
        <v>0</v>
      </c>
    </row>
    <row r="44" spans="1:8" ht="60">
      <c r="A44" s="191">
        <v>27</v>
      </c>
      <c r="B44" s="232" t="s">
        <v>569</v>
      </c>
      <c r="C44" s="192" t="str">
        <f>'приложение 6'!E643</f>
        <v>0240010480</v>
      </c>
      <c r="D44" s="191">
        <v>610</v>
      </c>
      <c r="E44" s="192" t="s">
        <v>176</v>
      </c>
      <c r="F44" s="39">
        <f>'приложение 6'!G645</f>
        <v>79.099999999999994</v>
      </c>
      <c r="G44" s="39">
        <f>'приложение 6'!H645</f>
        <v>0</v>
      </c>
      <c r="H44" s="39">
        <f>'приложение 6'!I645</f>
        <v>0</v>
      </c>
    </row>
    <row r="45" spans="1:8" ht="60">
      <c r="A45" s="191">
        <v>28</v>
      </c>
      <c r="B45" s="254" t="s">
        <v>588</v>
      </c>
      <c r="C45" s="192" t="str">
        <f>'приложение 6'!E711</f>
        <v>02400L4670</v>
      </c>
      <c r="D45" s="191">
        <v>610</v>
      </c>
      <c r="E45" s="192" t="s">
        <v>176</v>
      </c>
      <c r="F45" s="39">
        <f>'приложение 6'!G713</f>
        <v>225.16</v>
      </c>
      <c r="G45" s="39">
        <f>'приложение 6'!H713</f>
        <v>0</v>
      </c>
      <c r="H45" s="39">
        <f>'приложение 6'!I713</f>
        <v>0</v>
      </c>
    </row>
    <row r="46" spans="1:8" ht="25.5" customHeight="1">
      <c r="A46" s="315">
        <v>29</v>
      </c>
      <c r="B46" s="316" t="s">
        <v>408</v>
      </c>
      <c r="C46" s="315" t="str">
        <f>'приложение 6'!E726</f>
        <v>0240000610</v>
      </c>
      <c r="D46" s="42">
        <v>110</v>
      </c>
      <c r="E46" s="43" t="s">
        <v>127</v>
      </c>
      <c r="F46" s="39">
        <f>'приложение 6'!G728</f>
        <v>2789.58</v>
      </c>
      <c r="G46" s="39">
        <f>'приложение 6'!H728</f>
        <v>2945.69</v>
      </c>
      <c r="H46" s="39">
        <f>'приложение 6'!I728</f>
        <v>2945.69</v>
      </c>
    </row>
    <row r="47" spans="1:8" ht="21" customHeight="1">
      <c r="A47" s="315"/>
      <c r="B47" s="316"/>
      <c r="C47" s="315"/>
      <c r="D47" s="42">
        <v>240</v>
      </c>
      <c r="E47" s="43" t="s">
        <v>127</v>
      </c>
      <c r="F47" s="39">
        <f>'приложение 6'!G730</f>
        <v>764.97</v>
      </c>
      <c r="G47" s="39">
        <f>'приложение 6'!H730</f>
        <v>884.97</v>
      </c>
      <c r="H47" s="39">
        <f>'приложение 6'!I730</f>
        <v>884.97</v>
      </c>
    </row>
    <row r="48" spans="1:8" ht="21.75" customHeight="1">
      <c r="A48" s="315"/>
      <c r="B48" s="316"/>
      <c r="C48" s="315"/>
      <c r="D48" s="42">
        <v>850</v>
      </c>
      <c r="E48" s="43" t="s">
        <v>127</v>
      </c>
      <c r="F48" s="39">
        <f>'приложение 6'!G732</f>
        <v>1</v>
      </c>
      <c r="G48" s="39">
        <f>'приложение 6'!H732</f>
        <v>1</v>
      </c>
      <c r="H48" s="39">
        <f>'приложение 6'!I732</f>
        <v>1</v>
      </c>
    </row>
    <row r="49" spans="1:8" ht="24" customHeight="1">
      <c r="A49" s="315">
        <v>30</v>
      </c>
      <c r="B49" s="333" t="s">
        <v>473</v>
      </c>
      <c r="C49" s="43" t="s">
        <v>315</v>
      </c>
      <c r="D49" s="42">
        <v>610</v>
      </c>
      <c r="E49" s="43" t="s">
        <v>126</v>
      </c>
      <c r="F49" s="39">
        <f>'приложение 6'!G719</f>
        <v>400</v>
      </c>
      <c r="G49" s="39">
        <f>'приложение 6'!H719</f>
        <v>0</v>
      </c>
      <c r="H49" s="39">
        <f>'приложение 6'!I719</f>
        <v>0</v>
      </c>
    </row>
    <row r="50" spans="1:8" ht="15.75" customHeight="1">
      <c r="A50" s="315"/>
      <c r="B50" s="333"/>
      <c r="C50" s="43" t="str">
        <f>'приложение 6'!E716</f>
        <v>02400L5190</v>
      </c>
      <c r="D50" s="42">
        <v>610</v>
      </c>
      <c r="E50" s="43" t="s">
        <v>126</v>
      </c>
      <c r="F50" s="39">
        <f>'приложение 6'!G716</f>
        <v>0</v>
      </c>
      <c r="G50" s="39">
        <f>'приложение 6'!H716</f>
        <v>14</v>
      </c>
      <c r="H50" s="39">
        <f>'приложение 6'!I716</f>
        <v>0</v>
      </c>
    </row>
    <row r="51" spans="1:8" ht="33.75" customHeight="1">
      <c r="A51" s="315"/>
      <c r="B51" s="333"/>
      <c r="C51" s="43" t="str">
        <f>'приложение 6'!E722</f>
        <v>02400S4880</v>
      </c>
      <c r="D51" s="42">
        <v>610</v>
      </c>
      <c r="E51" s="43" t="s">
        <v>126</v>
      </c>
      <c r="F51" s="39">
        <f>'приложение 6'!G722</f>
        <v>252.7</v>
      </c>
      <c r="G51" s="39">
        <f>'приложение 6'!H722</f>
        <v>238.7</v>
      </c>
      <c r="H51" s="39">
        <f>'приложение 6'!I722</f>
        <v>238.7</v>
      </c>
    </row>
    <row r="52" spans="1:8" ht="33.75" customHeight="1">
      <c r="A52" s="191">
        <v>31</v>
      </c>
      <c r="B52" s="195" t="s">
        <v>519</v>
      </c>
      <c r="C52" s="192" t="str">
        <f>'приложение 6'!E735</f>
        <v>0240010360</v>
      </c>
      <c r="D52" s="191">
        <v>110</v>
      </c>
      <c r="E52" s="192" t="s">
        <v>127</v>
      </c>
      <c r="F52" s="39">
        <f>'приложение 6'!G735</f>
        <v>154.26400000000001</v>
      </c>
      <c r="G52" s="39">
        <f>'приложение 6'!H735</f>
        <v>0</v>
      </c>
      <c r="H52" s="39">
        <f>'приложение 6'!I735</f>
        <v>0</v>
      </c>
    </row>
    <row r="53" spans="1:8" ht="37.5" customHeight="1">
      <c r="A53" s="315">
        <v>32</v>
      </c>
      <c r="B53" s="325" t="s">
        <v>364</v>
      </c>
      <c r="C53" s="309" t="str">
        <f>'приложение 6'!E646</f>
        <v>0240010490</v>
      </c>
      <c r="D53" s="42">
        <v>110</v>
      </c>
      <c r="E53" s="43" t="s">
        <v>127</v>
      </c>
      <c r="F53" s="39">
        <f>'приложение 6'!G738</f>
        <v>8.9600000000000009</v>
      </c>
      <c r="G53" s="39">
        <f>'приложение 6'!H738</f>
        <v>0</v>
      </c>
      <c r="H53" s="39">
        <f>'приложение 6'!I738</f>
        <v>0</v>
      </c>
    </row>
    <row r="54" spans="1:8" ht="29.25" customHeight="1">
      <c r="A54" s="315"/>
      <c r="B54" s="325"/>
      <c r="C54" s="309"/>
      <c r="D54" s="42">
        <v>610</v>
      </c>
      <c r="E54" s="43" t="s">
        <v>176</v>
      </c>
      <c r="F54" s="39">
        <f>'приложение 6'!G648</f>
        <v>322.72000000000003</v>
      </c>
      <c r="G54" s="39">
        <f>'приложение 6'!H648</f>
        <v>0</v>
      </c>
      <c r="H54" s="39">
        <f>'приложение 6'!I648</f>
        <v>0</v>
      </c>
    </row>
    <row r="55" spans="1:8" ht="63" customHeight="1">
      <c r="A55" s="42">
        <v>33</v>
      </c>
      <c r="B55" s="182" t="s">
        <v>506</v>
      </c>
      <c r="C55" s="43" t="str">
        <f>'приложение 6'!E651</f>
        <v>02400S4860</v>
      </c>
      <c r="D55" s="42">
        <v>610</v>
      </c>
      <c r="E55" s="43" t="s">
        <v>176</v>
      </c>
      <c r="F55" s="39">
        <f>'приложение 6'!G651</f>
        <v>2</v>
      </c>
      <c r="G55" s="39">
        <f>'приложение 6'!H651</f>
        <v>0</v>
      </c>
      <c r="H55" s="39">
        <f>'приложение 6'!I651</f>
        <v>0</v>
      </c>
    </row>
    <row r="56" spans="1:8" ht="23.25" customHeight="1">
      <c r="A56" s="42">
        <v>34</v>
      </c>
      <c r="B56" s="81" t="s">
        <v>249</v>
      </c>
      <c r="C56" s="74" t="s">
        <v>250</v>
      </c>
      <c r="D56" s="82"/>
      <c r="E56" s="83"/>
      <c r="F56" s="62">
        <v>0</v>
      </c>
      <c r="G56" s="62">
        <v>0</v>
      </c>
      <c r="H56" s="62">
        <v>0</v>
      </c>
    </row>
    <row r="57" spans="1:8" ht="42.75">
      <c r="A57" s="42">
        <v>35</v>
      </c>
      <c r="B57" s="149" t="s">
        <v>229</v>
      </c>
      <c r="C57" s="83" t="s">
        <v>193</v>
      </c>
      <c r="D57" s="42"/>
      <c r="E57" s="43"/>
      <c r="F57" s="85">
        <f>F58+F65+F84+F90</f>
        <v>651750.505</v>
      </c>
      <c r="G57" s="85">
        <f>G58+G65+G84+G90</f>
        <v>542783.82500000007</v>
      </c>
      <c r="H57" s="85">
        <f>H58+H65+H84+H90</f>
        <v>547410.92500000005</v>
      </c>
    </row>
    <row r="58" spans="1:8">
      <c r="A58" s="42">
        <v>36</v>
      </c>
      <c r="B58" s="185" t="s">
        <v>139</v>
      </c>
      <c r="C58" s="74" t="s">
        <v>203</v>
      </c>
      <c r="D58" s="82"/>
      <c r="E58" s="83"/>
      <c r="F58" s="62">
        <f>F59+F61+F62+F63+F60+F64</f>
        <v>185027.72000000003</v>
      </c>
      <c r="G58" s="62">
        <f t="shared" ref="G58:H58" si="7">G59+G61+G62+G63+G60+G64</f>
        <v>176848.96000000002</v>
      </c>
      <c r="H58" s="62">
        <f t="shared" si="7"/>
        <v>176848.96000000002</v>
      </c>
    </row>
    <row r="59" spans="1:8" ht="60">
      <c r="A59" s="42">
        <v>37</v>
      </c>
      <c r="B59" s="102" t="s">
        <v>368</v>
      </c>
      <c r="C59" s="42" t="str">
        <f>'приложение 6'!E513</f>
        <v>0310000610</v>
      </c>
      <c r="D59" s="42">
        <v>610</v>
      </c>
      <c r="E59" s="43" t="s">
        <v>120</v>
      </c>
      <c r="F59" s="84">
        <f>'приложение 6'!G515</f>
        <v>88350.46</v>
      </c>
      <c r="G59" s="84">
        <f>'приложение 6'!H515</f>
        <v>84817.46</v>
      </c>
      <c r="H59" s="84">
        <f>'приложение 6'!I515</f>
        <v>84817.46</v>
      </c>
    </row>
    <row r="60" spans="1:8" ht="45">
      <c r="A60" s="42">
        <v>38</v>
      </c>
      <c r="B60" s="101" t="s">
        <v>364</v>
      </c>
      <c r="C60" s="43" t="str">
        <f>'приложение 6'!E516</f>
        <v>0310010490</v>
      </c>
      <c r="D60" s="42">
        <v>610</v>
      </c>
      <c r="E60" s="43" t="s">
        <v>120</v>
      </c>
      <c r="F60" s="84">
        <f>'приложение 6'!G518</f>
        <v>2599.64</v>
      </c>
      <c r="G60" s="84">
        <f>'приложение 6'!H518</f>
        <v>0</v>
      </c>
      <c r="H60" s="84">
        <f>'приложение 6'!I518</f>
        <v>0</v>
      </c>
    </row>
    <row r="61" spans="1:8" ht="150">
      <c r="A61" s="42">
        <v>39</v>
      </c>
      <c r="B61" s="122" t="s">
        <v>369</v>
      </c>
      <c r="C61" s="42" t="str">
        <f>'приложение 6'!E519</f>
        <v>0310074080</v>
      </c>
      <c r="D61" s="42">
        <v>610</v>
      </c>
      <c r="E61" s="43" t="s">
        <v>120</v>
      </c>
      <c r="F61" s="84">
        <f>'приложение 6'!G519</f>
        <v>38609.769999999997</v>
      </c>
      <c r="G61" s="84">
        <f>'приложение 6'!H519</f>
        <v>38114.799999999996</v>
      </c>
      <c r="H61" s="84">
        <f>'приложение 6'!I519</f>
        <v>38114.799999999996</v>
      </c>
    </row>
    <row r="62" spans="1:8" ht="150">
      <c r="A62" s="42">
        <v>40</v>
      </c>
      <c r="B62" s="122" t="s">
        <v>370</v>
      </c>
      <c r="C62" s="42" t="str">
        <f>'приложение 6'!E522</f>
        <v>0310075880</v>
      </c>
      <c r="D62" s="42">
        <v>610</v>
      </c>
      <c r="E62" s="43" t="s">
        <v>120</v>
      </c>
      <c r="F62" s="84">
        <f>'приложение 6'!G524</f>
        <v>53679.85</v>
      </c>
      <c r="G62" s="84">
        <f>'приложение 6'!H524</f>
        <v>53628.7</v>
      </c>
      <c r="H62" s="84">
        <f>'приложение 6'!I524</f>
        <v>53628.7</v>
      </c>
    </row>
    <row r="63" spans="1:8" ht="135">
      <c r="A63" s="42">
        <v>41</v>
      </c>
      <c r="B63" s="123" t="s">
        <v>371</v>
      </c>
      <c r="C63" s="42" t="str">
        <f>'приложение 6'!E525</f>
        <v>0310075540</v>
      </c>
      <c r="D63" s="42">
        <v>610</v>
      </c>
      <c r="E63" s="43" t="s">
        <v>120</v>
      </c>
      <c r="F63" s="84">
        <f>'приложение 6'!G527</f>
        <v>288</v>
      </c>
      <c r="G63" s="84">
        <f>'приложение 6'!H527</f>
        <v>288</v>
      </c>
      <c r="H63" s="84">
        <f>'приложение 6'!I527</f>
        <v>288</v>
      </c>
    </row>
    <row r="64" spans="1:8">
      <c r="A64" s="42">
        <v>42</v>
      </c>
      <c r="B64" s="102" t="s">
        <v>480</v>
      </c>
      <c r="C64" s="43" t="str">
        <f>'приложение 6'!E528</f>
        <v>0310080210</v>
      </c>
      <c r="D64" s="42">
        <v>610</v>
      </c>
      <c r="E64" s="43" t="s">
        <v>120</v>
      </c>
      <c r="F64" s="84">
        <f>'приложение 6'!G530</f>
        <v>1500</v>
      </c>
      <c r="G64" s="84">
        <f>'приложение 6'!H530</f>
        <v>0</v>
      </c>
      <c r="H64" s="84">
        <f>'приложение 6'!I530</f>
        <v>0</v>
      </c>
    </row>
    <row r="65" spans="1:8">
      <c r="A65" s="42">
        <v>43</v>
      </c>
      <c r="B65" s="185" t="s">
        <v>140</v>
      </c>
      <c r="C65" s="74" t="s">
        <v>208</v>
      </c>
      <c r="D65" s="82"/>
      <c r="E65" s="83"/>
      <c r="F65" s="62">
        <f>F66+F67+F69+F70+F73+F75+F82+F83+F74+F72+F76+F77+F78+F79+F80+F81+F68+F71</f>
        <v>416692.52500000002</v>
      </c>
      <c r="G65" s="62">
        <f t="shared" ref="G65:H65" si="8">G66+G67+G69+G70+G73+G75+G82+G83+G74+G72+G76+G77+G78+G79+G80+G81+G68+G71</f>
        <v>317746.34500000003</v>
      </c>
      <c r="H65" s="62">
        <f t="shared" si="8"/>
        <v>322373.44500000007</v>
      </c>
    </row>
    <row r="66" spans="1:8" ht="60">
      <c r="A66" s="42">
        <v>44</v>
      </c>
      <c r="B66" s="102" t="s">
        <v>372</v>
      </c>
      <c r="C66" s="42" t="str">
        <f>'приложение 6'!E534</f>
        <v>0320000610</v>
      </c>
      <c r="D66" s="42">
        <v>610</v>
      </c>
      <c r="E66" s="43" t="s">
        <v>121</v>
      </c>
      <c r="F66" s="39">
        <f>'приложение 6'!G536</f>
        <v>121362.18</v>
      </c>
      <c r="G66" s="39">
        <f>'приложение 6'!H536</f>
        <v>114952.18</v>
      </c>
      <c r="H66" s="39">
        <f>'приложение 6'!I536</f>
        <v>114952.18</v>
      </c>
    </row>
    <row r="67" spans="1:8" ht="45">
      <c r="A67" s="42">
        <v>45</v>
      </c>
      <c r="B67" s="101" t="s">
        <v>364</v>
      </c>
      <c r="C67" s="43" t="str">
        <f>'приложение 6'!E538</f>
        <v>0320010490</v>
      </c>
      <c r="D67" s="42">
        <v>610</v>
      </c>
      <c r="E67" s="43" t="s">
        <v>121</v>
      </c>
      <c r="F67" s="39">
        <f>'приложение 6'!G539</f>
        <v>3675.35</v>
      </c>
      <c r="G67" s="39">
        <f>'приложение 6'!H539</f>
        <v>0</v>
      </c>
      <c r="H67" s="39">
        <f>'приложение 6'!I539</f>
        <v>0</v>
      </c>
    </row>
    <row r="68" spans="1:8" ht="75">
      <c r="A68" s="188">
        <v>46</v>
      </c>
      <c r="B68" s="253" t="s">
        <v>590</v>
      </c>
      <c r="C68" s="189" t="str">
        <f>'приложение 6'!E542</f>
        <v>0320053030</v>
      </c>
      <c r="D68" s="188">
        <v>610</v>
      </c>
      <c r="E68" s="189" t="s">
        <v>121</v>
      </c>
      <c r="F68" s="39">
        <f>'приложение 6'!G540</f>
        <v>7171.4</v>
      </c>
      <c r="G68" s="39">
        <f>'приложение 6'!H540</f>
        <v>21514.2</v>
      </c>
      <c r="H68" s="39">
        <f>'приложение 6'!I540</f>
        <v>21514.2</v>
      </c>
    </row>
    <row r="69" spans="1:8" ht="90">
      <c r="A69" s="42">
        <v>47</v>
      </c>
      <c r="B69" s="124" t="s">
        <v>373</v>
      </c>
      <c r="C69" s="42" t="str">
        <f>'приложение 6'!E545</f>
        <v>0320076490</v>
      </c>
      <c r="D69" s="42">
        <v>610</v>
      </c>
      <c r="E69" s="43" t="s">
        <v>121</v>
      </c>
      <c r="F69" s="39">
        <f>'приложение 6'!G545</f>
        <v>2866.3</v>
      </c>
      <c r="G69" s="39">
        <f>'приложение 6'!H545</f>
        <v>2431.4</v>
      </c>
      <c r="H69" s="39">
        <f>'приложение 6'!I545</f>
        <v>2431.4</v>
      </c>
    </row>
    <row r="70" spans="1:8" ht="135">
      <c r="A70" s="42">
        <v>48</v>
      </c>
      <c r="B70" s="122" t="s">
        <v>374</v>
      </c>
      <c r="C70" s="42" t="str">
        <f>'приложение 6'!E546</f>
        <v>0320074090</v>
      </c>
      <c r="D70" s="42">
        <v>610</v>
      </c>
      <c r="E70" s="43" t="s">
        <v>121</v>
      </c>
      <c r="F70" s="39">
        <f>'приложение 6'!G548</f>
        <v>34336.880000000005</v>
      </c>
      <c r="G70" s="39">
        <f>'приложение 6'!H548</f>
        <v>35227.1</v>
      </c>
      <c r="H70" s="39">
        <f>'приложение 6'!I548</f>
        <v>35227.1</v>
      </c>
    </row>
    <row r="71" spans="1:8" ht="45" customHeight="1">
      <c r="A71" s="203">
        <v>49</v>
      </c>
      <c r="B71" s="232" t="s">
        <v>563</v>
      </c>
      <c r="C71" s="208" t="str">
        <f>'приложение 6'!E347</f>
        <v>03200S3910</v>
      </c>
      <c r="D71" s="203">
        <v>410</v>
      </c>
      <c r="E71" s="208" t="s">
        <v>121</v>
      </c>
      <c r="F71" s="39">
        <f>'приложение 6'!G347</f>
        <v>80808.08</v>
      </c>
      <c r="G71" s="39">
        <f>'приложение 6'!H347</f>
        <v>0</v>
      </c>
      <c r="H71" s="39">
        <f>'приложение 6'!I347</f>
        <v>0</v>
      </c>
    </row>
    <row r="72" spans="1:8" ht="80.25" customHeight="1">
      <c r="A72" s="176">
        <v>50</v>
      </c>
      <c r="B72" s="180" t="s">
        <v>409</v>
      </c>
      <c r="C72" s="43" t="str">
        <f>'приложение 6'!E549</f>
        <v>03200S5630</v>
      </c>
      <c r="D72" s="42">
        <v>610</v>
      </c>
      <c r="E72" s="43" t="s">
        <v>121</v>
      </c>
      <c r="F72" s="39">
        <f>'приложение 6'!G551</f>
        <v>1215.79</v>
      </c>
      <c r="G72" s="39">
        <f>'приложение 6'!H551</f>
        <v>1360.98</v>
      </c>
      <c r="H72" s="39">
        <f>'приложение 6'!I551</f>
        <v>1555.4</v>
      </c>
    </row>
    <row r="73" spans="1:8" ht="95.25" customHeight="1">
      <c r="A73" s="315">
        <v>51</v>
      </c>
      <c r="B73" s="322" t="s">
        <v>375</v>
      </c>
      <c r="C73" s="315" t="str">
        <f>'приложение 6'!E552</f>
        <v>0320075640</v>
      </c>
      <c r="D73" s="42">
        <v>610</v>
      </c>
      <c r="E73" s="43" t="s">
        <v>121</v>
      </c>
      <c r="F73" s="39">
        <f>'приложение 6'!G554</f>
        <v>130421.32</v>
      </c>
      <c r="G73" s="39">
        <f>'приложение 6'!H554</f>
        <v>131079.1</v>
      </c>
      <c r="H73" s="39">
        <f>'приложение 6'!I554</f>
        <v>131079.1</v>
      </c>
    </row>
    <row r="74" spans="1:8" ht="69" customHeight="1">
      <c r="A74" s="315"/>
      <c r="B74" s="322"/>
      <c r="C74" s="315"/>
      <c r="D74" s="42">
        <v>610</v>
      </c>
      <c r="E74" s="43" t="s">
        <v>176</v>
      </c>
      <c r="F74" s="39">
        <f>'приложение 6'!G578</f>
        <v>196.19499999999999</v>
      </c>
      <c r="G74" s="39">
        <f>'приложение 6'!H578</f>
        <v>196.19499999999999</v>
      </c>
      <c r="H74" s="39">
        <f>'приложение 6'!I578</f>
        <v>196.19499999999999</v>
      </c>
    </row>
    <row r="75" spans="1:8">
      <c r="A75" s="42">
        <v>52</v>
      </c>
      <c r="B75" s="102" t="s">
        <v>327</v>
      </c>
      <c r="C75" s="43" t="s">
        <v>326</v>
      </c>
      <c r="D75" s="42">
        <v>610</v>
      </c>
      <c r="E75" s="43" t="s">
        <v>121</v>
      </c>
      <c r="F75" s="39">
        <f>'приложение 6'!G557</f>
        <v>3599</v>
      </c>
      <c r="G75" s="39">
        <f>'приложение 6'!H557</f>
        <v>0</v>
      </c>
      <c r="H75" s="39">
        <f>'приложение 6'!I557</f>
        <v>0</v>
      </c>
    </row>
    <row r="76" spans="1:8">
      <c r="A76" s="156">
        <v>53</v>
      </c>
      <c r="B76" s="157" t="s">
        <v>485</v>
      </c>
      <c r="C76" s="155" t="str">
        <f>'приложение 6'!E558</f>
        <v>0320088270</v>
      </c>
      <c r="D76" s="156">
        <v>610</v>
      </c>
      <c r="E76" s="155" t="s">
        <v>121</v>
      </c>
      <c r="F76" s="39">
        <f>'приложение 6'!G560</f>
        <v>350</v>
      </c>
      <c r="G76" s="39">
        <f>'приложение 6'!H560</f>
        <v>0</v>
      </c>
      <c r="H76" s="39">
        <f>'приложение 6'!I560</f>
        <v>0</v>
      </c>
    </row>
    <row r="77" spans="1:8" ht="75">
      <c r="A77" s="188">
        <v>54</v>
      </c>
      <c r="B77" s="232" t="s">
        <v>565</v>
      </c>
      <c r="C77" s="189" t="str">
        <f>'приложение 6'!E563</f>
        <v>03200S4300</v>
      </c>
      <c r="D77" s="188">
        <v>610</v>
      </c>
      <c r="E77" s="189" t="s">
        <v>121</v>
      </c>
      <c r="F77" s="39">
        <f>'приложение 6'!G563</f>
        <v>5183.72</v>
      </c>
      <c r="G77" s="39">
        <f>'приложение 6'!H563</f>
        <v>0</v>
      </c>
      <c r="H77" s="39">
        <f>'приложение 6'!I563</f>
        <v>0</v>
      </c>
    </row>
    <row r="78" spans="1:8" ht="90">
      <c r="A78" s="188">
        <v>55</v>
      </c>
      <c r="B78" s="232" t="s">
        <v>566</v>
      </c>
      <c r="C78" s="189" t="str">
        <f>'приложение 6'!E564</f>
        <v>03200S8400</v>
      </c>
      <c r="D78" s="188">
        <v>610</v>
      </c>
      <c r="E78" s="189" t="s">
        <v>121</v>
      </c>
      <c r="F78" s="39">
        <f>'приложение 6'!G566</f>
        <v>8432.06</v>
      </c>
      <c r="G78" s="39">
        <f>'приложение 6'!H566</f>
        <v>0</v>
      </c>
      <c r="H78" s="39">
        <f>'приложение 6'!I566</f>
        <v>0</v>
      </c>
    </row>
    <row r="79" spans="1:8" ht="90">
      <c r="A79" s="188">
        <v>56</v>
      </c>
      <c r="B79" s="232" t="s">
        <v>567</v>
      </c>
      <c r="C79" s="189" t="str">
        <f>'приложение 6'!E567</f>
        <v>032Е151690</v>
      </c>
      <c r="D79" s="188">
        <v>610</v>
      </c>
      <c r="E79" s="189" t="s">
        <v>121</v>
      </c>
      <c r="F79" s="39">
        <f>'приложение 6'!G568</f>
        <v>0</v>
      </c>
      <c r="G79" s="39">
        <f>'приложение 6'!H568</f>
        <v>1465.69</v>
      </c>
      <c r="H79" s="39">
        <f>'приложение 6'!I568</f>
        <v>3053.68</v>
      </c>
    </row>
    <row r="80" spans="1:8" ht="75">
      <c r="A80" s="188">
        <v>57</v>
      </c>
      <c r="B80" s="232" t="s">
        <v>568</v>
      </c>
      <c r="C80" s="189" t="str">
        <f>'приложение 6'!E570</f>
        <v>032Е452100</v>
      </c>
      <c r="D80" s="188">
        <v>610</v>
      </c>
      <c r="E80" s="189" t="s">
        <v>121</v>
      </c>
      <c r="F80" s="39">
        <f>'приложение 6'!G572</f>
        <v>6425.95</v>
      </c>
      <c r="G80" s="39">
        <f>'приложение 6'!H572</f>
        <v>0</v>
      </c>
      <c r="H80" s="39">
        <f>'приложение 6'!I572</f>
        <v>2844.69</v>
      </c>
    </row>
    <row r="81" spans="1:8" ht="75">
      <c r="A81" s="188">
        <v>58</v>
      </c>
      <c r="B81" s="235" t="s">
        <v>570</v>
      </c>
      <c r="C81" s="189" t="str">
        <f>'приложение 6'!E618</f>
        <v>0320053040</v>
      </c>
      <c r="D81" s="188">
        <v>610</v>
      </c>
      <c r="E81" s="189" t="s">
        <v>131</v>
      </c>
      <c r="F81" s="39">
        <f>'приложение 6'!G618</f>
        <v>2257.6</v>
      </c>
      <c r="G81" s="39">
        <f>'приложение 6'!H618</f>
        <v>0</v>
      </c>
      <c r="H81" s="39">
        <f>'приложение 6'!I618</f>
        <v>0</v>
      </c>
    </row>
    <row r="82" spans="1:8" ht="50.25" customHeight="1">
      <c r="A82" s="315">
        <v>59</v>
      </c>
      <c r="B82" s="321" t="s">
        <v>378</v>
      </c>
      <c r="C82" s="315" t="str">
        <f>'приложение 6'!E619</f>
        <v>0320075660</v>
      </c>
      <c r="D82" s="42">
        <v>610</v>
      </c>
      <c r="E82" s="309" t="s">
        <v>131</v>
      </c>
      <c r="F82" s="39">
        <f>'приложение 6'!G623</f>
        <v>8293.7000000000007</v>
      </c>
      <c r="G82" s="39">
        <f>'приложение 6'!H623</f>
        <v>9422.5</v>
      </c>
      <c r="H82" s="39">
        <f>'приложение 6'!I623</f>
        <v>9422.5</v>
      </c>
    </row>
    <row r="83" spans="1:8" ht="67.5" customHeight="1">
      <c r="A83" s="315"/>
      <c r="B83" s="321"/>
      <c r="C83" s="315"/>
      <c r="D83" s="42">
        <v>320</v>
      </c>
      <c r="E83" s="309"/>
      <c r="F83" s="39">
        <f>'приложение 6'!G621</f>
        <v>97</v>
      </c>
      <c r="G83" s="39">
        <f>'приложение 6'!H621</f>
        <v>97</v>
      </c>
      <c r="H83" s="39">
        <f>'приложение 6'!I621</f>
        <v>97</v>
      </c>
    </row>
    <row r="84" spans="1:8">
      <c r="A84" s="42">
        <v>60</v>
      </c>
      <c r="B84" s="185" t="s">
        <v>141</v>
      </c>
      <c r="C84" s="74" t="s">
        <v>212</v>
      </c>
      <c r="D84" s="82"/>
      <c r="E84" s="83"/>
      <c r="F84" s="62">
        <f>F85+F88+F89+F86+F87</f>
        <v>25459.819999999996</v>
      </c>
      <c r="G84" s="62">
        <f t="shared" ref="G84:H84" si="9">G85+G88+G89+G86+G87</f>
        <v>24454.42</v>
      </c>
      <c r="H84" s="62">
        <f t="shared" si="9"/>
        <v>24454.42</v>
      </c>
    </row>
    <row r="85" spans="1:8" ht="60">
      <c r="A85" s="42">
        <v>61</v>
      </c>
      <c r="B85" s="102" t="s">
        <v>383</v>
      </c>
      <c r="C85" s="42" t="str">
        <f>'приложение 6'!E580</f>
        <v>0330000660</v>
      </c>
      <c r="D85" s="42">
        <v>610</v>
      </c>
      <c r="E85" s="43" t="s">
        <v>176</v>
      </c>
      <c r="F85" s="39">
        <f>'приложение 6'!G582</f>
        <v>24454.42</v>
      </c>
      <c r="G85" s="39">
        <f>'приложение 6'!H582</f>
        <v>24454.42</v>
      </c>
      <c r="H85" s="39">
        <f>'приложение 6'!I582</f>
        <v>24454.42</v>
      </c>
    </row>
    <row r="86" spans="1:8" ht="30">
      <c r="A86" s="188">
        <v>62</v>
      </c>
      <c r="B86" s="190" t="s">
        <v>519</v>
      </c>
      <c r="C86" s="189" t="str">
        <f>'приложение 6'!E583</f>
        <v>0330010360</v>
      </c>
      <c r="D86" s="188">
        <v>610</v>
      </c>
      <c r="E86" s="189" t="s">
        <v>176</v>
      </c>
      <c r="F86" s="39">
        <f>'приложение 6'!G583</f>
        <v>327.8</v>
      </c>
      <c r="G86" s="39">
        <f>'приложение 6'!H583</f>
        <v>0</v>
      </c>
      <c r="H86" s="39">
        <f>'приложение 6'!I583</f>
        <v>0</v>
      </c>
    </row>
    <row r="87" spans="1:8" ht="60">
      <c r="A87" s="188">
        <v>63</v>
      </c>
      <c r="B87" s="232" t="s">
        <v>569</v>
      </c>
      <c r="C87" s="189" t="str">
        <f>'приложение 6'!E586</f>
        <v>0330010480</v>
      </c>
      <c r="D87" s="188">
        <v>610</v>
      </c>
      <c r="E87" s="189" t="s">
        <v>176</v>
      </c>
      <c r="F87" s="39">
        <f>'приложение 6'!G586</f>
        <v>23.5</v>
      </c>
      <c r="G87" s="39">
        <f>'приложение 6'!H586</f>
        <v>0</v>
      </c>
      <c r="H87" s="39">
        <f>'приложение 6'!I586</f>
        <v>0</v>
      </c>
    </row>
    <row r="88" spans="1:8" ht="45">
      <c r="A88" s="42">
        <v>64</v>
      </c>
      <c r="B88" s="101" t="s">
        <v>364</v>
      </c>
      <c r="C88" s="43" t="str">
        <f>'приложение 6'!E591</f>
        <v>0330010490</v>
      </c>
      <c r="D88" s="42">
        <v>610</v>
      </c>
      <c r="E88" s="43" t="s">
        <v>176</v>
      </c>
      <c r="F88" s="39">
        <f>'приложение 6'!G591</f>
        <v>467.1</v>
      </c>
      <c r="G88" s="39">
        <f>'приложение 6'!H591</f>
        <v>0</v>
      </c>
      <c r="H88" s="39">
        <f>'приложение 6'!I591</f>
        <v>0</v>
      </c>
    </row>
    <row r="89" spans="1:8" ht="30">
      <c r="A89" s="42">
        <v>65</v>
      </c>
      <c r="B89" s="102" t="s">
        <v>482</v>
      </c>
      <c r="C89" s="43" t="str">
        <f>'приложение 6'!E594</f>
        <v>0330080210</v>
      </c>
      <c r="D89" s="42">
        <v>610</v>
      </c>
      <c r="E89" s="43" t="s">
        <v>176</v>
      </c>
      <c r="F89" s="39">
        <f>'приложение 6'!G594</f>
        <v>187</v>
      </c>
      <c r="G89" s="39">
        <f>'приложение 6'!H594</f>
        <v>0</v>
      </c>
      <c r="H89" s="39">
        <f>'приложение 6'!I594</f>
        <v>0</v>
      </c>
    </row>
    <row r="90" spans="1:8">
      <c r="A90" s="42">
        <v>66</v>
      </c>
      <c r="B90" s="185" t="s">
        <v>58</v>
      </c>
      <c r="C90" s="105" t="s">
        <v>59</v>
      </c>
      <c r="D90" s="105"/>
      <c r="E90" s="74"/>
      <c r="F90" s="62">
        <f>F91+F92+F97+F98+F99+F100+F94+F93+F96+F95</f>
        <v>24570.439999999995</v>
      </c>
      <c r="G90" s="62">
        <f t="shared" ref="G90:H90" si="10">G91+G92+G97+G98+G99+G100+G94+G93+G96+G95</f>
        <v>23734.099999999995</v>
      </c>
      <c r="H90" s="62">
        <f t="shared" si="10"/>
        <v>23734.099999999995</v>
      </c>
    </row>
    <row r="91" spans="1:8">
      <c r="A91" s="315">
        <v>67</v>
      </c>
      <c r="B91" s="316" t="s">
        <v>376</v>
      </c>
      <c r="C91" s="315" t="str">
        <f>'приложение 6'!E598</f>
        <v>0340000610</v>
      </c>
      <c r="D91" s="42">
        <v>110</v>
      </c>
      <c r="E91" s="43" t="s">
        <v>123</v>
      </c>
      <c r="F91" s="39">
        <f>'приложение 6'!G600</f>
        <v>15705.25</v>
      </c>
      <c r="G91" s="39">
        <f>'приложение 6'!H600</f>
        <v>15705.25</v>
      </c>
      <c r="H91" s="39">
        <f>'приложение 6'!I600</f>
        <v>15705.25</v>
      </c>
    </row>
    <row r="92" spans="1:8">
      <c r="A92" s="315"/>
      <c r="B92" s="316"/>
      <c r="C92" s="315"/>
      <c r="D92" s="42">
        <v>240</v>
      </c>
      <c r="E92" s="43" t="s">
        <v>123</v>
      </c>
      <c r="F92" s="39">
        <f>'приложение 6'!G602</f>
        <v>2979.68</v>
      </c>
      <c r="G92" s="39">
        <f>'приложение 6'!H602</f>
        <v>3011.25</v>
      </c>
      <c r="H92" s="39">
        <f>'приложение 6'!I602</f>
        <v>3011.25</v>
      </c>
    </row>
    <row r="93" spans="1:8">
      <c r="A93" s="315"/>
      <c r="B93" s="316"/>
      <c r="C93" s="315"/>
      <c r="D93" s="42">
        <v>830</v>
      </c>
      <c r="E93" s="43" t="s">
        <v>123</v>
      </c>
      <c r="F93" s="39">
        <f>'приложение 6'!G604</f>
        <v>1</v>
      </c>
      <c r="G93" s="39">
        <f>'приложение 6'!H604</f>
        <v>1</v>
      </c>
      <c r="H93" s="39">
        <f>'приложение 6'!I604</f>
        <v>1</v>
      </c>
    </row>
    <row r="94" spans="1:8">
      <c r="A94" s="315"/>
      <c r="B94" s="316"/>
      <c r="C94" s="315"/>
      <c r="D94" s="42">
        <v>850</v>
      </c>
      <c r="E94" s="43" t="s">
        <v>123</v>
      </c>
      <c r="F94" s="39">
        <f>'приложение 6'!G605</f>
        <v>45.57</v>
      </c>
      <c r="G94" s="39">
        <f>'приложение 6'!H605</f>
        <v>14</v>
      </c>
      <c r="H94" s="39">
        <f>'приложение 6'!I605</f>
        <v>14</v>
      </c>
    </row>
    <row r="95" spans="1:8" ht="30">
      <c r="A95" s="188">
        <v>68</v>
      </c>
      <c r="B95" s="190" t="s">
        <v>519</v>
      </c>
      <c r="C95" s="189" t="str">
        <f>'приложение 6'!E608</f>
        <v>0340010360</v>
      </c>
      <c r="D95" s="188">
        <v>110</v>
      </c>
      <c r="E95" s="189" t="s">
        <v>123</v>
      </c>
      <c r="F95" s="39">
        <f>'приложение 6'!G606</f>
        <v>794.67</v>
      </c>
      <c r="G95" s="39">
        <f>'приложение 6'!H606</f>
        <v>0</v>
      </c>
      <c r="H95" s="39">
        <f>'приложение 6'!I606</f>
        <v>0</v>
      </c>
    </row>
    <row r="96" spans="1:8" ht="45">
      <c r="A96" s="42">
        <v>69</v>
      </c>
      <c r="B96" s="101" t="s">
        <v>364</v>
      </c>
      <c r="C96" s="43" t="str">
        <f>'приложение 6'!E609</f>
        <v>0340010490</v>
      </c>
      <c r="D96" s="42">
        <v>110</v>
      </c>
      <c r="E96" s="43" t="s">
        <v>123</v>
      </c>
      <c r="F96" s="39">
        <f>'приложение 6'!G611</f>
        <v>143.37</v>
      </c>
      <c r="G96" s="39">
        <f>'приложение 6'!H611</f>
        <v>0</v>
      </c>
      <c r="H96" s="39">
        <f>'приложение 6'!I611</f>
        <v>0</v>
      </c>
    </row>
    <row r="97" spans="1:8" ht="38.25" customHeight="1">
      <c r="A97" s="315">
        <v>70</v>
      </c>
      <c r="B97" s="321" t="s">
        <v>154</v>
      </c>
      <c r="C97" s="315" t="str">
        <f>'приложение 6'!E351</f>
        <v>0340075520</v>
      </c>
      <c r="D97" s="42">
        <v>120</v>
      </c>
      <c r="E97" s="43" t="s">
        <v>123</v>
      </c>
      <c r="F97" s="39">
        <f>'приложение 6'!G353</f>
        <v>1413.74</v>
      </c>
      <c r="G97" s="39">
        <f>'приложение 6'!H353</f>
        <v>1515.44</v>
      </c>
      <c r="H97" s="39">
        <f>'приложение 6'!I353</f>
        <v>1515.44</v>
      </c>
    </row>
    <row r="98" spans="1:8" ht="42" customHeight="1">
      <c r="A98" s="315"/>
      <c r="B98" s="321"/>
      <c r="C98" s="315"/>
      <c r="D98" s="42">
        <v>240</v>
      </c>
      <c r="E98" s="43" t="s">
        <v>123</v>
      </c>
      <c r="F98" s="39">
        <f>'приложение 6'!G355</f>
        <v>394.96</v>
      </c>
      <c r="G98" s="39">
        <f>'приложение 6'!H355</f>
        <v>394.96</v>
      </c>
      <c r="H98" s="39">
        <f>'приложение 6'!I355</f>
        <v>394.96</v>
      </c>
    </row>
    <row r="99" spans="1:8" ht="56.25" customHeight="1">
      <c r="A99" s="315">
        <v>71</v>
      </c>
      <c r="B99" s="322" t="s">
        <v>377</v>
      </c>
      <c r="C99" s="315" t="str">
        <f>'приложение 6'!E627</f>
        <v>0340075560</v>
      </c>
      <c r="D99" s="42">
        <v>320</v>
      </c>
      <c r="E99" s="43" t="s">
        <v>175</v>
      </c>
      <c r="F99" s="39">
        <f>'приложение 6'!G629</f>
        <v>3061.28</v>
      </c>
      <c r="G99" s="39">
        <f>'приложение 6'!H629</f>
        <v>3061.28</v>
      </c>
      <c r="H99" s="39">
        <f>'приложение 6'!I629</f>
        <v>3061.28</v>
      </c>
    </row>
    <row r="100" spans="1:8" ht="61.5" customHeight="1">
      <c r="A100" s="315"/>
      <c r="B100" s="322"/>
      <c r="C100" s="315"/>
      <c r="D100" s="42">
        <v>240</v>
      </c>
      <c r="E100" s="43" t="s">
        <v>175</v>
      </c>
      <c r="F100" s="39">
        <f>'приложение 6'!G631</f>
        <v>30.92</v>
      </c>
      <c r="G100" s="39">
        <f>'приложение 6'!H631</f>
        <v>30.92</v>
      </c>
      <c r="H100" s="39">
        <f>'приложение 6'!I631</f>
        <v>30.92</v>
      </c>
    </row>
    <row r="101" spans="1:8" ht="28.5">
      <c r="A101" s="42">
        <v>72</v>
      </c>
      <c r="B101" s="149" t="s">
        <v>230</v>
      </c>
      <c r="C101" s="83" t="s">
        <v>219</v>
      </c>
      <c r="D101" s="42"/>
      <c r="E101" s="43"/>
      <c r="F101" s="85">
        <f>F102+F107+F109</f>
        <v>6131.6539999999995</v>
      </c>
      <c r="G101" s="85">
        <f>G102+G107+G109</f>
        <v>6432.48</v>
      </c>
      <c r="H101" s="85">
        <f>H102+H107+H109</f>
        <v>6432.48</v>
      </c>
    </row>
    <row r="102" spans="1:8" ht="30">
      <c r="A102" s="42">
        <v>73</v>
      </c>
      <c r="B102" s="185" t="s">
        <v>328</v>
      </c>
      <c r="C102" s="74" t="s">
        <v>251</v>
      </c>
      <c r="D102" s="82"/>
      <c r="E102" s="83"/>
      <c r="F102" s="62">
        <f>F103+F105+F106+F104</f>
        <v>6042.6539999999995</v>
      </c>
      <c r="G102" s="62">
        <f t="shared" ref="G102:H102" si="11">G103+G105+G106+G104</f>
        <v>6333.48</v>
      </c>
      <c r="H102" s="62">
        <f t="shared" si="11"/>
        <v>6333.48</v>
      </c>
    </row>
    <row r="103" spans="1:8" ht="60">
      <c r="A103" s="42">
        <v>74</v>
      </c>
      <c r="B103" s="135" t="s">
        <v>385</v>
      </c>
      <c r="C103" s="43" t="s">
        <v>329</v>
      </c>
      <c r="D103" s="42">
        <v>610</v>
      </c>
      <c r="E103" s="43" t="s">
        <v>122</v>
      </c>
      <c r="F103" s="84">
        <f>'приложение 6'!G657</f>
        <v>5325.28</v>
      </c>
      <c r="G103" s="84">
        <f>'приложение 6'!H657</f>
        <v>5936.28</v>
      </c>
      <c r="H103" s="84">
        <f>'приложение 6'!I657</f>
        <v>5936.28</v>
      </c>
    </row>
    <row r="104" spans="1:8" ht="30">
      <c r="A104" s="191">
        <v>75</v>
      </c>
      <c r="B104" s="195" t="s">
        <v>519</v>
      </c>
      <c r="C104" s="192" t="str">
        <f>'приложение 6'!E660</f>
        <v>0410010360</v>
      </c>
      <c r="D104" s="191">
        <v>610</v>
      </c>
      <c r="E104" s="192" t="s">
        <v>122</v>
      </c>
      <c r="F104" s="84">
        <f>'приложение 6'!G660</f>
        <v>267.714</v>
      </c>
      <c r="G104" s="84">
        <f>'приложение 6'!H660</f>
        <v>0</v>
      </c>
      <c r="H104" s="84">
        <f>'приложение 6'!I660</f>
        <v>0</v>
      </c>
    </row>
    <row r="105" spans="1:8" ht="45">
      <c r="A105" s="42">
        <v>76</v>
      </c>
      <c r="B105" s="101" t="s">
        <v>364</v>
      </c>
      <c r="C105" s="43" t="str">
        <f>'приложение 6'!E661</f>
        <v>0410010490</v>
      </c>
      <c r="D105" s="42">
        <v>610</v>
      </c>
      <c r="E105" s="43" t="s">
        <v>122</v>
      </c>
      <c r="F105" s="84">
        <f>'приложение 6'!G663</f>
        <v>35.86</v>
      </c>
      <c r="G105" s="84">
        <f>'приложение 6'!H663</f>
        <v>0</v>
      </c>
      <c r="H105" s="84">
        <f>'приложение 6'!I663</f>
        <v>0</v>
      </c>
    </row>
    <row r="106" spans="1:8" ht="69.75" customHeight="1">
      <c r="A106" s="176">
        <v>77</v>
      </c>
      <c r="B106" s="180" t="s">
        <v>402</v>
      </c>
      <c r="C106" s="43" t="s">
        <v>330</v>
      </c>
      <c r="D106" s="42">
        <v>610</v>
      </c>
      <c r="E106" s="43" t="s">
        <v>122</v>
      </c>
      <c r="F106" s="84">
        <f>'приложение 6'!G666</f>
        <v>413.8</v>
      </c>
      <c r="G106" s="84">
        <f>'приложение 6'!H666</f>
        <v>397.2</v>
      </c>
      <c r="H106" s="84">
        <f>'приложение 6'!I666</f>
        <v>397.2</v>
      </c>
    </row>
    <row r="107" spans="1:8" ht="30">
      <c r="A107" s="42">
        <v>78</v>
      </c>
      <c r="B107" s="103" t="s">
        <v>334</v>
      </c>
      <c r="C107" s="74" t="s">
        <v>220</v>
      </c>
      <c r="D107" s="82"/>
      <c r="E107" s="83"/>
      <c r="F107" s="62">
        <f>F108</f>
        <v>59</v>
      </c>
      <c r="G107" s="62">
        <f t="shared" ref="G107:H107" si="12">G108</f>
        <v>69</v>
      </c>
      <c r="H107" s="62">
        <f t="shared" si="12"/>
        <v>69</v>
      </c>
    </row>
    <row r="108" spans="1:8" ht="75">
      <c r="A108" s="42">
        <v>79</v>
      </c>
      <c r="B108" s="101" t="s">
        <v>386</v>
      </c>
      <c r="C108" s="43" t="s">
        <v>332</v>
      </c>
      <c r="D108" s="42">
        <v>610</v>
      </c>
      <c r="E108" s="43" t="s">
        <v>122</v>
      </c>
      <c r="F108" s="39">
        <f>'приложение 6'!G670</f>
        <v>59</v>
      </c>
      <c r="G108" s="39">
        <f>'приложение 6'!H670</f>
        <v>69</v>
      </c>
      <c r="H108" s="39">
        <f>'приложение 6'!I670</f>
        <v>69</v>
      </c>
    </row>
    <row r="109" spans="1:8" ht="45">
      <c r="A109" s="42">
        <v>80</v>
      </c>
      <c r="B109" s="103" t="s">
        <v>337</v>
      </c>
      <c r="C109" s="74" t="s">
        <v>252</v>
      </c>
      <c r="D109" s="42"/>
      <c r="E109" s="43"/>
      <c r="F109" s="62">
        <f>F110</f>
        <v>30</v>
      </c>
      <c r="G109" s="62">
        <f t="shared" ref="G109:H109" si="13">G110</f>
        <v>30</v>
      </c>
      <c r="H109" s="62">
        <f t="shared" si="13"/>
        <v>30</v>
      </c>
    </row>
    <row r="110" spans="1:8" ht="105">
      <c r="A110" s="42">
        <v>81</v>
      </c>
      <c r="B110" s="101" t="s">
        <v>387</v>
      </c>
      <c r="C110" s="43" t="s">
        <v>333</v>
      </c>
      <c r="D110" s="42">
        <v>610</v>
      </c>
      <c r="E110" s="43" t="s">
        <v>122</v>
      </c>
      <c r="F110" s="39">
        <f>'приложение 6'!G674</f>
        <v>30</v>
      </c>
      <c r="G110" s="39">
        <f>'приложение 6'!H674</f>
        <v>30</v>
      </c>
      <c r="H110" s="39">
        <f>'приложение 6'!I674</f>
        <v>30</v>
      </c>
    </row>
    <row r="111" spans="1:8" ht="28.5">
      <c r="A111" s="42">
        <v>82</v>
      </c>
      <c r="B111" s="149" t="s">
        <v>231</v>
      </c>
      <c r="C111" s="83" t="s">
        <v>177</v>
      </c>
      <c r="D111" s="82"/>
      <c r="E111" s="83"/>
      <c r="F111" s="85">
        <f>F112+F116</f>
        <v>110195.39</v>
      </c>
      <c r="G111" s="85">
        <f t="shared" ref="G111:H111" si="14">G112+G116</f>
        <v>103988.22</v>
      </c>
      <c r="H111" s="85">
        <f t="shared" si="14"/>
        <v>103988.22</v>
      </c>
    </row>
    <row r="112" spans="1:8" ht="60">
      <c r="A112" s="42">
        <v>83</v>
      </c>
      <c r="B112" s="185" t="s">
        <v>29</v>
      </c>
      <c r="C112" s="74" t="s">
        <v>183</v>
      </c>
      <c r="D112" s="82"/>
      <c r="E112" s="83"/>
      <c r="F112" s="62">
        <f>F113+F114+F115</f>
        <v>96024.5</v>
      </c>
      <c r="G112" s="62">
        <f t="shared" ref="G112:H112" si="15">G113+G114+G115</f>
        <v>90851.5</v>
      </c>
      <c r="H112" s="62">
        <f t="shared" si="15"/>
        <v>90851.5</v>
      </c>
    </row>
    <row r="113" spans="1:8" ht="120">
      <c r="A113" s="42">
        <v>84</v>
      </c>
      <c r="B113" s="153" t="s">
        <v>483</v>
      </c>
      <c r="C113" s="42" t="str">
        <f>'приложение 6'!E144</f>
        <v>0510076010</v>
      </c>
      <c r="D113" s="42">
        <v>510</v>
      </c>
      <c r="E113" s="43" t="s">
        <v>134</v>
      </c>
      <c r="F113" s="39">
        <f>'приложение 6'!G146</f>
        <v>13931</v>
      </c>
      <c r="G113" s="39">
        <f>'приложение 6'!H146</f>
        <v>8758</v>
      </c>
      <c r="H113" s="39">
        <f>'приложение 6'!I146</f>
        <v>8758</v>
      </c>
    </row>
    <row r="114" spans="1:8" ht="90">
      <c r="A114" s="42">
        <v>85</v>
      </c>
      <c r="B114" s="107" t="s">
        <v>421</v>
      </c>
      <c r="C114" s="42" t="str">
        <f>'приложение 6'!E147</f>
        <v>0510050010</v>
      </c>
      <c r="D114" s="42">
        <v>510</v>
      </c>
      <c r="E114" s="43" t="s">
        <v>134</v>
      </c>
      <c r="F114" s="39">
        <f>'приложение 6'!G149</f>
        <v>19091.59</v>
      </c>
      <c r="G114" s="39">
        <f>'приложение 6'!H149</f>
        <v>19091.59</v>
      </c>
      <c r="H114" s="39">
        <f>'приложение 6'!I149</f>
        <v>19091.59</v>
      </c>
    </row>
    <row r="115" spans="1:8" ht="105">
      <c r="A115" s="42">
        <v>86</v>
      </c>
      <c r="B115" s="153" t="s">
        <v>484</v>
      </c>
      <c r="C115" s="42" t="str">
        <f>'приложение 6'!E153</f>
        <v>0510050030</v>
      </c>
      <c r="D115" s="42">
        <v>540</v>
      </c>
      <c r="E115" s="43" t="s">
        <v>135</v>
      </c>
      <c r="F115" s="39">
        <f>'приложение 6'!G155</f>
        <v>63001.91</v>
      </c>
      <c r="G115" s="39">
        <f>'приложение 6'!H155</f>
        <v>63001.91</v>
      </c>
      <c r="H115" s="39">
        <f>'приложение 6'!I155</f>
        <v>63001.91</v>
      </c>
    </row>
    <row r="116" spans="1:8" ht="30">
      <c r="A116" s="42">
        <v>87</v>
      </c>
      <c r="B116" s="185" t="s">
        <v>16</v>
      </c>
      <c r="C116" s="74" t="s">
        <v>178</v>
      </c>
      <c r="D116" s="82"/>
      <c r="E116" s="83"/>
      <c r="F116" s="62">
        <f>F117+F118+F119+F120+F122+F121</f>
        <v>14170.89</v>
      </c>
      <c r="G116" s="62">
        <f t="shared" ref="G116:H116" si="16">G117+G118+G119+G120+G122+G121</f>
        <v>13136.720000000001</v>
      </c>
      <c r="H116" s="62">
        <f t="shared" si="16"/>
        <v>13136.720000000001</v>
      </c>
    </row>
    <row r="117" spans="1:8" ht="33" customHeight="1">
      <c r="A117" s="315">
        <v>88</v>
      </c>
      <c r="B117" s="325" t="s">
        <v>414</v>
      </c>
      <c r="C117" s="315" t="str">
        <f>'приложение 6'!E22</f>
        <v>0520000210</v>
      </c>
      <c r="D117" s="42">
        <v>120</v>
      </c>
      <c r="E117" s="43" t="s">
        <v>95</v>
      </c>
      <c r="F117" s="39">
        <f>'приложение 6'!G24</f>
        <v>9467.4</v>
      </c>
      <c r="G117" s="39">
        <f>'приложение 6'!H24</f>
        <v>9384.11</v>
      </c>
      <c r="H117" s="39">
        <f>'приложение 6'!I24</f>
        <v>9384.11</v>
      </c>
    </row>
    <row r="118" spans="1:8" ht="23.25" customHeight="1">
      <c r="A118" s="315"/>
      <c r="B118" s="325"/>
      <c r="C118" s="315"/>
      <c r="D118" s="42">
        <v>240</v>
      </c>
      <c r="E118" s="43" t="s">
        <v>95</v>
      </c>
      <c r="F118" s="39">
        <f>'приложение 6'!G26</f>
        <v>1770.36</v>
      </c>
      <c r="G118" s="39">
        <f>'приложение 6'!H26</f>
        <v>1475.36</v>
      </c>
      <c r="H118" s="39">
        <f>'приложение 6'!I26</f>
        <v>1475.36</v>
      </c>
    </row>
    <row r="119" spans="1:8" ht="27.75" customHeight="1">
      <c r="A119" s="315"/>
      <c r="B119" s="325"/>
      <c r="C119" s="315"/>
      <c r="D119" s="42">
        <v>850</v>
      </c>
      <c r="E119" s="43" t="s">
        <v>95</v>
      </c>
      <c r="F119" s="39">
        <f>'приложение 6'!G28</f>
        <v>5</v>
      </c>
      <c r="G119" s="39">
        <f>'приложение 6'!H28</f>
        <v>0</v>
      </c>
      <c r="H119" s="39">
        <f>'приложение 6'!I28</f>
        <v>0</v>
      </c>
    </row>
    <row r="120" spans="1:8" ht="75">
      <c r="A120" s="42">
        <v>89</v>
      </c>
      <c r="B120" s="101" t="s">
        <v>415</v>
      </c>
      <c r="C120" s="43" t="str">
        <f>'приложение 6'!E29</f>
        <v>0520000220</v>
      </c>
      <c r="D120" s="42">
        <v>120</v>
      </c>
      <c r="E120" s="43" t="s">
        <v>95</v>
      </c>
      <c r="F120" s="39">
        <f>'приложение 6'!G31</f>
        <v>1762.25</v>
      </c>
      <c r="G120" s="39">
        <f>'приложение 6'!H31</f>
        <v>2277.25</v>
      </c>
      <c r="H120" s="39">
        <f>'приложение 6'!I31</f>
        <v>2277.25</v>
      </c>
    </row>
    <row r="121" spans="1:8" ht="30">
      <c r="A121" s="203">
        <v>90</v>
      </c>
      <c r="B121" s="212" t="s">
        <v>519</v>
      </c>
      <c r="C121" s="208" t="str">
        <f>'приложение 6'!E33</f>
        <v>0520010360</v>
      </c>
      <c r="D121" s="203">
        <v>120</v>
      </c>
      <c r="E121" s="208" t="s">
        <v>95</v>
      </c>
      <c r="F121" s="39">
        <f>'приложение 6'!G34</f>
        <v>1076.24</v>
      </c>
      <c r="G121" s="39">
        <f>'приложение 6'!H34</f>
        <v>0</v>
      </c>
      <c r="H121" s="39">
        <f>'приложение 6'!I34</f>
        <v>0</v>
      </c>
    </row>
    <row r="122" spans="1:8" ht="45">
      <c r="A122" s="42">
        <v>91</v>
      </c>
      <c r="B122" s="101" t="s">
        <v>411</v>
      </c>
      <c r="C122" s="43" t="str">
        <f>'приложение 6'!E35</f>
        <v>0520010490</v>
      </c>
      <c r="D122" s="42">
        <v>120</v>
      </c>
      <c r="E122" s="43" t="s">
        <v>95</v>
      </c>
      <c r="F122" s="39">
        <f>'приложение 6'!G37</f>
        <v>89.64</v>
      </c>
      <c r="G122" s="39">
        <f>'приложение 6'!H37</f>
        <v>0</v>
      </c>
      <c r="H122" s="39">
        <f>'приложение 6'!I37</f>
        <v>0</v>
      </c>
    </row>
    <row r="123" spans="1:8" ht="28.5">
      <c r="A123" s="42">
        <v>92</v>
      </c>
      <c r="B123" s="149" t="s">
        <v>232</v>
      </c>
      <c r="C123" s="83" t="s">
        <v>187</v>
      </c>
      <c r="D123" s="82"/>
      <c r="E123" s="83"/>
      <c r="F123" s="85">
        <f>F124+F130+F137+F144</f>
        <v>6336.93</v>
      </c>
      <c r="G123" s="85">
        <f t="shared" ref="G123:H123" si="17">G124+G130+G137+G144</f>
        <v>2477.9</v>
      </c>
      <c r="H123" s="85">
        <f t="shared" si="17"/>
        <v>2477.9</v>
      </c>
    </row>
    <row r="124" spans="1:8" ht="45">
      <c r="A124" s="42">
        <v>93</v>
      </c>
      <c r="B124" s="185" t="s">
        <v>446</v>
      </c>
      <c r="C124" s="74" t="s">
        <v>188</v>
      </c>
      <c r="D124" s="82"/>
      <c r="E124" s="83"/>
      <c r="F124" s="62">
        <f>F125+F128+F129</f>
        <v>1636.3</v>
      </c>
      <c r="G124" s="62">
        <f t="shared" ref="G124:H124" si="18">G125+G128+G129</f>
        <v>1000</v>
      </c>
      <c r="H124" s="62">
        <f t="shared" si="18"/>
        <v>1000</v>
      </c>
    </row>
    <row r="125" spans="1:8">
      <c r="A125" s="315">
        <v>94</v>
      </c>
      <c r="B125" s="316" t="s">
        <v>412</v>
      </c>
      <c r="C125" s="315" t="s">
        <v>302</v>
      </c>
      <c r="D125" s="315">
        <v>240</v>
      </c>
      <c r="E125" s="309" t="s">
        <v>97</v>
      </c>
      <c r="F125" s="331">
        <f>'приложение 6'!G504</f>
        <v>400</v>
      </c>
      <c r="G125" s="331">
        <f>'приложение 6'!H504</f>
        <v>400</v>
      </c>
      <c r="H125" s="331">
        <f>'приложение 6'!I504</f>
        <v>400</v>
      </c>
    </row>
    <row r="126" spans="1:8">
      <c r="A126" s="315"/>
      <c r="B126" s="316"/>
      <c r="C126" s="315"/>
      <c r="D126" s="315"/>
      <c r="E126" s="309"/>
      <c r="F126" s="312"/>
      <c r="G126" s="312"/>
      <c r="H126" s="312"/>
    </row>
    <row r="127" spans="1:8">
      <c r="A127" s="315"/>
      <c r="B127" s="316"/>
      <c r="C127" s="315"/>
      <c r="D127" s="315"/>
      <c r="E127" s="309"/>
      <c r="F127" s="312"/>
      <c r="G127" s="312"/>
      <c r="H127" s="312"/>
    </row>
    <row r="128" spans="1:8" ht="60">
      <c r="A128" s="42">
        <v>95</v>
      </c>
      <c r="B128" s="135" t="s">
        <v>413</v>
      </c>
      <c r="C128" s="43" t="s">
        <v>303</v>
      </c>
      <c r="D128" s="42">
        <v>240</v>
      </c>
      <c r="E128" s="43" t="s">
        <v>97</v>
      </c>
      <c r="F128" s="84">
        <f>'приложение 6'!G507</f>
        <v>265</v>
      </c>
      <c r="G128" s="84">
        <f>'приложение 6'!H507</f>
        <v>600</v>
      </c>
      <c r="H128" s="84">
        <f>'приложение 6'!I507</f>
        <v>600</v>
      </c>
    </row>
    <row r="129" spans="1:8" ht="60">
      <c r="A129" s="217">
        <v>96</v>
      </c>
      <c r="B129" s="228" t="s">
        <v>580</v>
      </c>
      <c r="C129" s="218" t="str">
        <f>'приложение 6'!E160</f>
        <v>06100S7450</v>
      </c>
      <c r="D129" s="217">
        <v>540</v>
      </c>
      <c r="E129" s="218" t="s">
        <v>135</v>
      </c>
      <c r="F129" s="84">
        <f>'приложение 6'!G160</f>
        <v>971.3</v>
      </c>
      <c r="G129" s="84">
        <f>'приложение 6'!H160</f>
        <v>0</v>
      </c>
      <c r="H129" s="84">
        <f>'приложение 6'!I160</f>
        <v>0</v>
      </c>
    </row>
    <row r="130" spans="1:8">
      <c r="A130" s="315">
        <v>97</v>
      </c>
      <c r="B130" s="323" t="s">
        <v>313</v>
      </c>
      <c r="C130" s="324" t="s">
        <v>202</v>
      </c>
      <c r="D130" s="326"/>
      <c r="E130" s="326"/>
      <c r="F130" s="332">
        <f>F133+F134+F135+F136</f>
        <v>3022.73</v>
      </c>
      <c r="G130" s="332">
        <f t="shared" ref="G130:H130" si="19">G133+G134+G135+G136</f>
        <v>0</v>
      </c>
      <c r="H130" s="332">
        <f t="shared" si="19"/>
        <v>0</v>
      </c>
    </row>
    <row r="131" spans="1:8">
      <c r="A131" s="315"/>
      <c r="B131" s="323"/>
      <c r="C131" s="324"/>
      <c r="D131" s="326"/>
      <c r="E131" s="326"/>
      <c r="F131" s="326"/>
      <c r="G131" s="326"/>
      <c r="H131" s="326"/>
    </row>
    <row r="132" spans="1:8">
      <c r="A132" s="315"/>
      <c r="B132" s="323"/>
      <c r="C132" s="324"/>
      <c r="D132" s="326"/>
      <c r="E132" s="326"/>
      <c r="F132" s="326"/>
      <c r="G132" s="326"/>
      <c r="H132" s="326"/>
    </row>
    <row r="133" spans="1:8" ht="75">
      <c r="A133" s="203">
        <v>98</v>
      </c>
      <c r="B133" s="210" t="s">
        <v>542</v>
      </c>
      <c r="C133" s="205" t="str">
        <f>'приложение 6'!E107</f>
        <v>06200S4590</v>
      </c>
      <c r="D133" s="204">
        <v>520</v>
      </c>
      <c r="E133" s="208" t="s">
        <v>312</v>
      </c>
      <c r="F133" s="84">
        <f>'приложение 6'!G107</f>
        <v>1000</v>
      </c>
      <c r="G133" s="211">
        <f>'приложение 6'!H107</f>
        <v>0</v>
      </c>
      <c r="H133" s="211">
        <f>'приложение 6'!I107</f>
        <v>0</v>
      </c>
    </row>
    <row r="134" spans="1:8" ht="75">
      <c r="A134" s="203">
        <v>99</v>
      </c>
      <c r="B134" s="210" t="s">
        <v>544</v>
      </c>
      <c r="C134" s="205" t="str">
        <f>'приложение 6'!E110</f>
        <v>06200S7410</v>
      </c>
      <c r="D134" s="204">
        <v>520</v>
      </c>
      <c r="E134" s="208" t="s">
        <v>312</v>
      </c>
      <c r="F134" s="84">
        <f>'приложение 6'!J110</f>
        <v>1772.73</v>
      </c>
      <c r="G134" s="84">
        <f>'приложение 6'!K110</f>
        <v>0</v>
      </c>
      <c r="H134" s="84">
        <f>'приложение 6'!L110</f>
        <v>0</v>
      </c>
    </row>
    <row r="135" spans="1:8" ht="60">
      <c r="A135" s="203">
        <v>100</v>
      </c>
      <c r="B135" s="210" t="s">
        <v>546</v>
      </c>
      <c r="C135" s="205" t="str">
        <f>'приложение 6'!E111</f>
        <v>06200S7490</v>
      </c>
      <c r="D135" s="204">
        <v>520</v>
      </c>
      <c r="E135" s="208" t="s">
        <v>312</v>
      </c>
      <c r="F135" s="84">
        <f>'приложение 6'!G113</f>
        <v>250</v>
      </c>
      <c r="G135" s="84">
        <f>'приложение 6'!H113</f>
        <v>0</v>
      </c>
      <c r="H135" s="84">
        <f>'приложение 6'!I113</f>
        <v>0</v>
      </c>
    </row>
    <row r="136" spans="1:8" ht="75">
      <c r="A136" s="42">
        <v>101</v>
      </c>
      <c r="B136" s="101" t="s">
        <v>428</v>
      </c>
      <c r="C136" s="43" t="str">
        <f>'приложение 6'!E115</f>
        <v>062F255550</v>
      </c>
      <c r="D136" s="42">
        <v>520</v>
      </c>
      <c r="E136" s="43" t="s">
        <v>312</v>
      </c>
      <c r="F136" s="39">
        <f>'приложение 6'!G116</f>
        <v>0</v>
      </c>
      <c r="G136" s="39">
        <f>'приложение 6'!H116</f>
        <v>0</v>
      </c>
      <c r="H136" s="39">
        <f>'приложение 6'!I116</f>
        <v>0</v>
      </c>
    </row>
    <row r="137" spans="1:8" ht="30">
      <c r="A137" s="42">
        <v>102</v>
      </c>
      <c r="B137" s="103" t="s">
        <v>16</v>
      </c>
      <c r="C137" s="83" t="s">
        <v>447</v>
      </c>
      <c r="D137" s="42"/>
      <c r="E137" s="43"/>
      <c r="F137" s="39">
        <f>F138+F139+F140+F141+F142+F143</f>
        <v>1477.9000000000003</v>
      </c>
      <c r="G137" s="39">
        <f>G138+G139+G140+G141+G142+G143</f>
        <v>1477.9</v>
      </c>
      <c r="H137" s="39">
        <f>H138+H139+H140+H141+H142+H143</f>
        <v>1477.9</v>
      </c>
    </row>
    <row r="138" spans="1:8" ht="31.5" customHeight="1">
      <c r="A138" s="315">
        <v>103</v>
      </c>
      <c r="B138" s="330" t="s">
        <v>459</v>
      </c>
      <c r="C138" s="309" t="str">
        <f>'приложение 6'!E360</f>
        <v>0630001110</v>
      </c>
      <c r="D138" s="42">
        <v>310</v>
      </c>
      <c r="E138" s="43" t="s">
        <v>130</v>
      </c>
      <c r="F138" s="39">
        <f>'приложение 6'!G362</f>
        <v>1060.47</v>
      </c>
      <c r="G138" s="39">
        <f>'приложение 6'!H362</f>
        <v>582</v>
      </c>
      <c r="H138" s="39">
        <f>'приложение 6'!I362</f>
        <v>582</v>
      </c>
    </row>
    <row r="139" spans="1:8" ht="34.5" customHeight="1">
      <c r="A139" s="315"/>
      <c r="B139" s="330"/>
      <c r="C139" s="309"/>
      <c r="D139" s="42">
        <v>240</v>
      </c>
      <c r="E139" s="43" t="s">
        <v>130</v>
      </c>
      <c r="F139" s="39">
        <f>'приложение 6'!G364</f>
        <v>3.5</v>
      </c>
      <c r="G139" s="39">
        <f>'приложение 6'!H364</f>
        <v>3.5</v>
      </c>
      <c r="H139" s="39">
        <f>'приложение 6'!I364</f>
        <v>3.5</v>
      </c>
    </row>
    <row r="140" spans="1:8" ht="34.5" customHeight="1">
      <c r="A140" s="315">
        <v>104</v>
      </c>
      <c r="B140" s="325" t="s">
        <v>474</v>
      </c>
      <c r="C140" s="309" t="str">
        <f>'приложение 6'!E393</f>
        <v>0630080010</v>
      </c>
      <c r="D140" s="42">
        <v>310</v>
      </c>
      <c r="E140" s="43" t="s">
        <v>132</v>
      </c>
      <c r="F140" s="39">
        <f>'приложение 6'!G395</f>
        <v>282.60000000000002</v>
      </c>
      <c r="G140" s="39">
        <f>'приложение 6'!H395</f>
        <v>732.6</v>
      </c>
      <c r="H140" s="39">
        <f>'приложение 6'!I395</f>
        <v>732.6</v>
      </c>
    </row>
    <row r="141" spans="1:8" ht="34.5" customHeight="1">
      <c r="A141" s="315"/>
      <c r="B141" s="325"/>
      <c r="C141" s="317"/>
      <c r="D141" s="42">
        <v>240</v>
      </c>
      <c r="E141" s="43" t="s">
        <v>132</v>
      </c>
      <c r="F141" s="39">
        <f>'приложение 6'!G397</f>
        <v>4.4000000000000004</v>
      </c>
      <c r="G141" s="39">
        <f>'приложение 6'!H397</f>
        <v>4.4000000000000004</v>
      </c>
      <c r="H141" s="39">
        <f>'приложение 6'!I397</f>
        <v>4.4000000000000004</v>
      </c>
    </row>
    <row r="142" spans="1:8" ht="22.5" customHeight="1">
      <c r="A142" s="315">
        <v>105</v>
      </c>
      <c r="B142" s="330" t="s">
        <v>463</v>
      </c>
      <c r="C142" s="309" t="str">
        <f>'приложение 6'!E398</f>
        <v>0630080020</v>
      </c>
      <c r="D142" s="42">
        <v>320</v>
      </c>
      <c r="E142" s="43" t="s">
        <v>132</v>
      </c>
      <c r="F142" s="39">
        <f>'приложение 6'!G400</f>
        <v>116.22</v>
      </c>
      <c r="G142" s="39">
        <f>'приложение 6'!H400</f>
        <v>154.4</v>
      </c>
      <c r="H142" s="39">
        <f>'приложение 6'!I400</f>
        <v>154.4</v>
      </c>
    </row>
    <row r="143" spans="1:8" ht="21.75" customHeight="1">
      <c r="A143" s="315"/>
      <c r="B143" s="330"/>
      <c r="C143" s="317"/>
      <c r="D143" s="42">
        <v>240</v>
      </c>
      <c r="E143" s="43" t="s">
        <v>132</v>
      </c>
      <c r="F143" s="39">
        <f>'приложение 6'!G402</f>
        <v>10.71</v>
      </c>
      <c r="G143" s="39">
        <f>'приложение 6'!H402</f>
        <v>1</v>
      </c>
      <c r="H143" s="39">
        <f>'приложение 6'!I402</f>
        <v>1</v>
      </c>
    </row>
    <row r="144" spans="1:8">
      <c r="A144" s="159">
        <v>106</v>
      </c>
      <c r="B144" s="185" t="s">
        <v>41</v>
      </c>
      <c r="C144" s="74" t="s">
        <v>316</v>
      </c>
      <c r="D144" s="82"/>
      <c r="E144" s="83"/>
      <c r="F144" s="62">
        <f>F145</f>
        <v>200</v>
      </c>
      <c r="G144" s="62">
        <f t="shared" ref="G144:H144" si="20">G145</f>
        <v>0</v>
      </c>
      <c r="H144" s="62">
        <f t="shared" si="20"/>
        <v>0</v>
      </c>
    </row>
    <row r="145" spans="1:8">
      <c r="A145" s="315">
        <v>107</v>
      </c>
      <c r="B145" s="316" t="s">
        <v>305</v>
      </c>
      <c r="C145" s="315" t="s">
        <v>277</v>
      </c>
      <c r="D145" s="315">
        <v>540</v>
      </c>
      <c r="E145" s="309" t="s">
        <v>107</v>
      </c>
      <c r="F145" s="329">
        <f>'приложение 6'!G72</f>
        <v>200</v>
      </c>
      <c r="G145" s="329">
        <f>'приложение 6'!H72</f>
        <v>0</v>
      </c>
      <c r="H145" s="329">
        <f>'приложение 6'!I72</f>
        <v>0</v>
      </c>
    </row>
    <row r="146" spans="1:8">
      <c r="A146" s="315"/>
      <c r="B146" s="316"/>
      <c r="C146" s="315"/>
      <c r="D146" s="315"/>
      <c r="E146" s="309"/>
      <c r="F146" s="315"/>
      <c r="G146" s="315"/>
      <c r="H146" s="315"/>
    </row>
    <row r="147" spans="1:8">
      <c r="A147" s="315"/>
      <c r="B147" s="316"/>
      <c r="C147" s="315"/>
      <c r="D147" s="315"/>
      <c r="E147" s="309"/>
      <c r="F147" s="315"/>
      <c r="G147" s="315"/>
      <c r="H147" s="315"/>
    </row>
    <row r="148" spans="1:8" ht="57">
      <c r="A148" s="42">
        <v>108</v>
      </c>
      <c r="B148" s="149" t="s">
        <v>233</v>
      </c>
      <c r="C148" s="83" t="s">
        <v>180</v>
      </c>
      <c r="D148" s="42"/>
      <c r="E148" s="43"/>
      <c r="F148" s="85">
        <f>F149+F152+F153+F157</f>
        <v>68866.3</v>
      </c>
      <c r="G148" s="85">
        <f>G149+G152+G153+G157</f>
        <v>59923.199999999997</v>
      </c>
      <c r="H148" s="85">
        <f>H149+H152+H153+H157</f>
        <v>59923.199999999997</v>
      </c>
    </row>
    <row r="149" spans="1:8">
      <c r="A149" s="42">
        <v>109</v>
      </c>
      <c r="B149" s="185" t="s">
        <v>338</v>
      </c>
      <c r="C149" s="74" t="s">
        <v>181</v>
      </c>
      <c r="D149" s="82"/>
      <c r="E149" s="83"/>
      <c r="F149" s="62">
        <f>F150+F151</f>
        <v>860</v>
      </c>
      <c r="G149" s="62">
        <f t="shared" ref="G149:H149" si="21">G150+G151</f>
        <v>0</v>
      </c>
      <c r="H149" s="62">
        <f t="shared" si="21"/>
        <v>0</v>
      </c>
    </row>
    <row r="150" spans="1:8" ht="60">
      <c r="A150" s="159">
        <v>110</v>
      </c>
      <c r="B150" s="162" t="s">
        <v>500</v>
      </c>
      <c r="C150" s="141" t="str">
        <f>'приложение 6'!E127</f>
        <v>0710085010</v>
      </c>
      <c r="D150" s="159">
        <v>520</v>
      </c>
      <c r="E150" s="160" t="s">
        <v>490</v>
      </c>
      <c r="F150" s="84">
        <f>'приложение 6'!G129</f>
        <v>860</v>
      </c>
      <c r="G150" s="62">
        <f>'приложение 6'!H129</f>
        <v>0</v>
      </c>
      <c r="H150" s="62">
        <f>'приложение 6'!I129</f>
        <v>0</v>
      </c>
    </row>
    <row r="151" spans="1:8" ht="45">
      <c r="A151" s="159">
        <v>111</v>
      </c>
      <c r="B151" s="232" t="s">
        <v>579</v>
      </c>
      <c r="C151" s="141" t="str">
        <f>'приложение 6'!E132</f>
        <v>0710085011</v>
      </c>
      <c r="D151" s="159">
        <v>520</v>
      </c>
      <c r="E151" s="160" t="s">
        <v>490</v>
      </c>
      <c r="F151" s="84">
        <f>'приложение 6'!G132</f>
        <v>0</v>
      </c>
      <c r="G151" s="62">
        <f>'приложение 6'!H132</f>
        <v>0</v>
      </c>
      <c r="H151" s="62">
        <f>'приложение 6'!I132</f>
        <v>0</v>
      </c>
    </row>
    <row r="152" spans="1:8" ht="30">
      <c r="A152" s="159">
        <v>112</v>
      </c>
      <c r="B152" s="185" t="s">
        <v>339</v>
      </c>
      <c r="C152" s="74" t="s">
        <v>253</v>
      </c>
      <c r="D152" s="82"/>
      <c r="E152" s="83"/>
      <c r="F152" s="62">
        <v>0</v>
      </c>
      <c r="G152" s="62">
        <v>0</v>
      </c>
      <c r="H152" s="62">
        <v>0</v>
      </c>
    </row>
    <row r="153" spans="1:8" ht="30">
      <c r="A153" s="159">
        <v>113</v>
      </c>
      <c r="B153" s="185" t="s">
        <v>142</v>
      </c>
      <c r="C153" s="74" t="s">
        <v>182</v>
      </c>
      <c r="D153" s="82"/>
      <c r="E153" s="83"/>
      <c r="F153" s="62">
        <f>F155+F156+F154</f>
        <v>8270</v>
      </c>
      <c r="G153" s="62">
        <f t="shared" ref="G153:H153" si="22">G155+G156+G154</f>
        <v>0</v>
      </c>
      <c r="H153" s="62">
        <f t="shared" si="22"/>
        <v>0</v>
      </c>
    </row>
    <row r="154" spans="1:8" ht="180">
      <c r="A154" s="217">
        <v>114</v>
      </c>
      <c r="B154" s="219" t="s">
        <v>571</v>
      </c>
      <c r="C154" s="223" t="str">
        <f>'приложение 6'!E120</f>
        <v>07300S5710</v>
      </c>
      <c r="D154" s="217">
        <v>520</v>
      </c>
      <c r="E154" s="218" t="s">
        <v>490</v>
      </c>
      <c r="F154" s="84">
        <f>'приложение 6'!G120</f>
        <v>8270</v>
      </c>
      <c r="G154" s="84">
        <f>'приложение 6'!H120</f>
        <v>0</v>
      </c>
      <c r="H154" s="84">
        <f>'приложение 6'!I120</f>
        <v>0</v>
      </c>
    </row>
    <row r="155" spans="1:8" ht="30">
      <c r="A155" s="159">
        <v>115</v>
      </c>
      <c r="B155" s="162" t="s">
        <v>495</v>
      </c>
      <c r="C155" s="141" t="str">
        <f>'приложение 6'!E101</f>
        <v>0730085200</v>
      </c>
      <c r="D155" s="159">
        <v>520</v>
      </c>
      <c r="E155" s="160" t="s">
        <v>116</v>
      </c>
      <c r="F155" s="84">
        <f>'приложение 6'!G101</f>
        <v>0</v>
      </c>
      <c r="G155" s="62">
        <f>'приложение 6'!H101</f>
        <v>0</v>
      </c>
      <c r="H155" s="62">
        <f>'приложение 6'!I101</f>
        <v>0</v>
      </c>
    </row>
    <row r="156" spans="1:8" ht="75">
      <c r="A156" s="159">
        <v>116</v>
      </c>
      <c r="B156" s="162" t="s">
        <v>492</v>
      </c>
      <c r="C156" s="141" t="str">
        <f>'приложение 6'!E123</f>
        <v>0730087080</v>
      </c>
      <c r="D156" s="159">
        <v>520</v>
      </c>
      <c r="E156" s="160" t="s">
        <v>490</v>
      </c>
      <c r="F156" s="84">
        <f>'приложение 6'!G125</f>
        <v>0</v>
      </c>
      <c r="G156" s="62">
        <f>'приложение 6'!H125</f>
        <v>0</v>
      </c>
      <c r="H156" s="62">
        <f>'приложение 6'!I125</f>
        <v>0</v>
      </c>
    </row>
    <row r="157" spans="1:8">
      <c r="A157" s="42">
        <v>117</v>
      </c>
      <c r="B157" s="146" t="s">
        <v>143</v>
      </c>
      <c r="C157" s="74" t="s">
        <v>190</v>
      </c>
      <c r="D157" s="82"/>
      <c r="E157" s="83"/>
      <c r="F157" s="62">
        <f>F158+F159</f>
        <v>59736.3</v>
      </c>
      <c r="G157" s="62">
        <f t="shared" ref="G157:H157" si="23">G158+G159</f>
        <v>59923.199999999997</v>
      </c>
      <c r="H157" s="62">
        <f t="shared" si="23"/>
        <v>59923.199999999997</v>
      </c>
    </row>
    <row r="158" spans="1:8" ht="45">
      <c r="A158" s="159">
        <v>118</v>
      </c>
      <c r="B158" s="122" t="s">
        <v>307</v>
      </c>
      <c r="C158" s="42" t="str">
        <f>'приложение 6'!E326</f>
        <v>0790075770</v>
      </c>
      <c r="D158" s="42">
        <v>810</v>
      </c>
      <c r="E158" s="43" t="s">
        <v>116</v>
      </c>
      <c r="F158" s="39">
        <f>'приложение 6'!G328</f>
        <v>22966.400000000001</v>
      </c>
      <c r="G158" s="39">
        <f>'приложение 6'!H328</f>
        <v>23153.3</v>
      </c>
      <c r="H158" s="39">
        <f>'приложение 6'!I328</f>
        <v>23153.3</v>
      </c>
    </row>
    <row r="159" spans="1:8" ht="30">
      <c r="A159" s="159">
        <v>119</v>
      </c>
      <c r="B159" s="122" t="s">
        <v>287</v>
      </c>
      <c r="C159" s="42" t="str">
        <f>'приложение 6'!E329</f>
        <v>0790075700</v>
      </c>
      <c r="D159" s="42">
        <v>810</v>
      </c>
      <c r="E159" s="43" t="s">
        <v>116</v>
      </c>
      <c r="F159" s="39">
        <f>'приложение 6'!G331</f>
        <v>36769.9</v>
      </c>
      <c r="G159" s="39">
        <f>'приложение 6'!H331</f>
        <v>36769.9</v>
      </c>
      <c r="H159" s="39">
        <f>'приложение 6'!I331</f>
        <v>36769.9</v>
      </c>
    </row>
    <row r="160" spans="1:8" ht="57">
      <c r="A160" s="159">
        <v>120</v>
      </c>
      <c r="B160" s="142" t="s">
        <v>234</v>
      </c>
      <c r="C160" s="83" t="s">
        <v>196</v>
      </c>
      <c r="D160" s="42"/>
      <c r="E160" s="43"/>
      <c r="F160" s="85">
        <f>F161+F169</f>
        <v>5953.86</v>
      </c>
      <c r="G160" s="85">
        <f>G161+G169</f>
        <v>6257.1900000000005</v>
      </c>
      <c r="H160" s="85">
        <f>H161+H169</f>
        <v>6257.1900000000005</v>
      </c>
    </row>
    <row r="161" spans="1:8" ht="30">
      <c r="A161" s="42">
        <v>121</v>
      </c>
      <c r="B161" s="143" t="s">
        <v>317</v>
      </c>
      <c r="C161" s="74" t="s">
        <v>197</v>
      </c>
      <c r="D161" s="82"/>
      <c r="E161" s="83"/>
      <c r="F161" s="62">
        <f>F162+F163+F164+F167+F166+F168+F165</f>
        <v>5953.86</v>
      </c>
      <c r="G161" s="62">
        <f t="shared" ref="G161:H161" si="24">G162+G163+G164+G167+G166+G168+G165</f>
        <v>6257.1900000000005</v>
      </c>
      <c r="H161" s="62">
        <f t="shared" si="24"/>
        <v>6257.1900000000005</v>
      </c>
    </row>
    <row r="162" spans="1:8" ht="27.75" customHeight="1">
      <c r="A162" s="315">
        <v>122</v>
      </c>
      <c r="B162" s="334" t="s">
        <v>362</v>
      </c>
      <c r="C162" s="315" t="str">
        <f>'приложение 6'!E409</f>
        <v>0810000610</v>
      </c>
      <c r="D162" s="42">
        <v>110</v>
      </c>
      <c r="E162" s="43" t="s">
        <v>103</v>
      </c>
      <c r="F162" s="39">
        <f>'приложение 6'!G410</f>
        <v>4096.05</v>
      </c>
      <c r="G162" s="39">
        <f>'приложение 6'!H410</f>
        <v>4126.05</v>
      </c>
      <c r="H162" s="39">
        <f>'приложение 6'!I410</f>
        <v>4126.05</v>
      </c>
    </row>
    <row r="163" spans="1:8" ht="35.25" customHeight="1">
      <c r="A163" s="315"/>
      <c r="B163" s="334"/>
      <c r="C163" s="315"/>
      <c r="D163" s="42">
        <v>240</v>
      </c>
      <c r="E163" s="43" t="s">
        <v>103</v>
      </c>
      <c r="F163" s="39">
        <f>'приложение 6'!G412</f>
        <v>647.47</v>
      </c>
      <c r="G163" s="39">
        <f>'приложение 6'!H412</f>
        <v>747.47</v>
      </c>
      <c r="H163" s="39">
        <f>'приложение 6'!I412</f>
        <v>747.47</v>
      </c>
    </row>
    <row r="164" spans="1:8" ht="39.75" customHeight="1">
      <c r="A164" s="315"/>
      <c r="B164" s="334"/>
      <c r="C164" s="315"/>
      <c r="D164" s="42">
        <v>850</v>
      </c>
      <c r="E164" s="43" t="s">
        <v>103</v>
      </c>
      <c r="F164" s="39">
        <f>'приложение 6'!G414</f>
        <v>0.5</v>
      </c>
      <c r="G164" s="39">
        <f>'приложение 6'!H414</f>
        <v>0.5</v>
      </c>
      <c r="H164" s="39">
        <f>'приложение 6'!I414</f>
        <v>0.5</v>
      </c>
    </row>
    <row r="165" spans="1:8" ht="39.75" customHeight="1">
      <c r="A165" s="188">
        <v>123</v>
      </c>
      <c r="B165" s="190" t="s">
        <v>519</v>
      </c>
      <c r="C165" s="189" t="str">
        <f>'приложение 6'!E417</f>
        <v>0810010360</v>
      </c>
      <c r="D165" s="188">
        <v>110</v>
      </c>
      <c r="E165" s="189" t="s">
        <v>103</v>
      </c>
      <c r="F165" s="39">
        <f>'приложение 6'!G417</f>
        <v>147.44</v>
      </c>
      <c r="G165" s="39">
        <f>'приложение 6'!H417</f>
        <v>0</v>
      </c>
      <c r="H165" s="39">
        <f>'приложение 6'!I417</f>
        <v>0</v>
      </c>
    </row>
    <row r="166" spans="1:8" ht="56.25" customHeight="1">
      <c r="A166" s="42">
        <v>124</v>
      </c>
      <c r="B166" s="101" t="s">
        <v>364</v>
      </c>
      <c r="C166" s="43" t="str">
        <f>'приложение 6'!E419</f>
        <v>0810010490</v>
      </c>
      <c r="D166" s="42">
        <v>110</v>
      </c>
      <c r="E166" s="43" t="s">
        <v>103</v>
      </c>
      <c r="F166" s="39">
        <f>'приложение 6'!G420</f>
        <v>71.709999999999994</v>
      </c>
      <c r="G166" s="39">
        <f>'приложение 6'!H420</f>
        <v>0</v>
      </c>
      <c r="H166" s="39">
        <f>'приложение 6'!I420</f>
        <v>0</v>
      </c>
    </row>
    <row r="167" spans="1:8" ht="30">
      <c r="A167" s="42">
        <v>125</v>
      </c>
      <c r="B167" s="101" t="s">
        <v>309</v>
      </c>
      <c r="C167" s="43" t="s">
        <v>310</v>
      </c>
      <c r="D167" s="42">
        <v>240</v>
      </c>
      <c r="E167" s="43" t="s">
        <v>103</v>
      </c>
      <c r="F167" s="39">
        <f>'приложение 6'!G423</f>
        <v>9.5</v>
      </c>
      <c r="G167" s="39">
        <f>'приложение 6'!H423</f>
        <v>9.5</v>
      </c>
      <c r="H167" s="39">
        <f>'приложение 6'!I423</f>
        <v>9.5</v>
      </c>
    </row>
    <row r="168" spans="1:8" ht="30">
      <c r="A168" s="42">
        <v>126</v>
      </c>
      <c r="B168" s="101" t="s">
        <v>440</v>
      </c>
      <c r="C168" s="43" t="str">
        <f>'приложение 6'!E65</f>
        <v>08100S4120</v>
      </c>
      <c r="D168" s="42">
        <v>520</v>
      </c>
      <c r="E168" s="43" t="s">
        <v>439</v>
      </c>
      <c r="F168" s="39">
        <f>'приложение 6'!G65</f>
        <v>981.19</v>
      </c>
      <c r="G168" s="39">
        <f>'приложение 6'!H65</f>
        <v>1373.67</v>
      </c>
      <c r="H168" s="39">
        <f>'приложение 6'!I65</f>
        <v>1373.67</v>
      </c>
    </row>
    <row r="169" spans="1:8" ht="30">
      <c r="A169" s="42">
        <v>127</v>
      </c>
      <c r="B169" s="103" t="s">
        <v>488</v>
      </c>
      <c r="C169" s="74" t="s">
        <v>318</v>
      </c>
      <c r="D169" s="105"/>
      <c r="E169" s="74"/>
      <c r="F169" s="62">
        <v>0</v>
      </c>
      <c r="G169" s="62">
        <v>0</v>
      </c>
      <c r="H169" s="62">
        <v>0</v>
      </c>
    </row>
    <row r="170" spans="1:8" ht="42.75">
      <c r="A170" s="42">
        <v>128</v>
      </c>
      <c r="B170" s="142" t="s">
        <v>444</v>
      </c>
      <c r="C170" s="83" t="s">
        <v>189</v>
      </c>
      <c r="D170" s="82"/>
      <c r="E170" s="83"/>
      <c r="F170" s="85">
        <f>F171+F173</f>
        <v>1256.05</v>
      </c>
      <c r="G170" s="85">
        <f t="shared" ref="G170:H170" si="25">G171+G173</f>
        <v>1082.0999999999999</v>
      </c>
      <c r="H170" s="85">
        <f t="shared" si="25"/>
        <v>1082.0999999999999</v>
      </c>
    </row>
    <row r="171" spans="1:8">
      <c r="A171" s="42">
        <v>129</v>
      </c>
      <c r="B171" s="142" t="s">
        <v>306</v>
      </c>
      <c r="C171" s="83" t="s">
        <v>445</v>
      </c>
      <c r="D171" s="82"/>
      <c r="E171" s="83"/>
      <c r="F171" s="85">
        <f>F172</f>
        <v>0</v>
      </c>
      <c r="G171" s="85">
        <f t="shared" ref="G171:H171" si="26">G172</f>
        <v>60</v>
      </c>
      <c r="H171" s="85">
        <f t="shared" si="26"/>
        <v>60</v>
      </c>
    </row>
    <row r="172" spans="1:8" ht="45" customHeight="1">
      <c r="A172" s="42">
        <v>130</v>
      </c>
      <c r="B172" s="135" t="s">
        <v>51</v>
      </c>
      <c r="C172" s="43" t="str">
        <f>'приложение 6'!E309</f>
        <v>09100S6070</v>
      </c>
      <c r="D172" s="42">
        <v>630</v>
      </c>
      <c r="E172" s="43" t="s">
        <v>112</v>
      </c>
      <c r="F172" s="39">
        <f>'приложение 6'!G311</f>
        <v>0</v>
      </c>
      <c r="G172" s="39">
        <f>'приложение 6'!H311</f>
        <v>60</v>
      </c>
      <c r="H172" s="39">
        <f>'приложение 6'!I311</f>
        <v>60</v>
      </c>
    </row>
    <row r="173" spans="1:8" ht="28.5">
      <c r="A173" s="42">
        <v>131</v>
      </c>
      <c r="B173" s="142" t="s">
        <v>281</v>
      </c>
      <c r="C173" s="83" t="s">
        <v>433</v>
      </c>
      <c r="D173" s="82"/>
      <c r="E173" s="83"/>
      <c r="F173" s="85">
        <f>F174+F175+F177+F176</f>
        <v>1256.05</v>
      </c>
      <c r="G173" s="85">
        <f t="shared" ref="G173:H173" si="27">G174+G175+G177+G176</f>
        <v>1022.1</v>
      </c>
      <c r="H173" s="85">
        <f t="shared" si="27"/>
        <v>1022.1</v>
      </c>
    </row>
    <row r="174" spans="1:8" ht="32.25" customHeight="1">
      <c r="A174" s="315">
        <v>132</v>
      </c>
      <c r="B174" s="321" t="s">
        <v>44</v>
      </c>
      <c r="C174" s="309" t="str">
        <f>'приложение 6'!E266</f>
        <v>0920075170</v>
      </c>
      <c r="D174" s="42">
        <v>120</v>
      </c>
      <c r="E174" s="43" t="s">
        <v>108</v>
      </c>
      <c r="F174" s="39">
        <f>'приложение 6'!G268</f>
        <v>697.1</v>
      </c>
      <c r="G174" s="39">
        <f>'приложение 6'!H268</f>
        <v>748</v>
      </c>
      <c r="H174" s="39">
        <f>'приложение 6'!I268</f>
        <v>748</v>
      </c>
    </row>
    <row r="175" spans="1:8" ht="36.75" customHeight="1">
      <c r="A175" s="315"/>
      <c r="B175" s="321"/>
      <c r="C175" s="309"/>
      <c r="D175" s="42">
        <v>240</v>
      </c>
      <c r="E175" s="43" t="s">
        <v>108</v>
      </c>
      <c r="F175" s="39">
        <f>'приложение 6'!G270</f>
        <v>72</v>
      </c>
      <c r="G175" s="39">
        <f>'приложение 6'!H270</f>
        <v>72</v>
      </c>
      <c r="H175" s="39">
        <f>'приложение 6'!I270</f>
        <v>72</v>
      </c>
    </row>
    <row r="176" spans="1:8" ht="36.75" customHeight="1">
      <c r="A176" s="298">
        <v>133</v>
      </c>
      <c r="B176" s="305" t="s">
        <v>53</v>
      </c>
      <c r="C176" s="292" t="str">
        <f>'приложение 6'!E340</f>
        <v>0920075180</v>
      </c>
      <c r="D176" s="203">
        <v>120</v>
      </c>
      <c r="E176" s="292" t="s">
        <v>555</v>
      </c>
      <c r="F176" s="39">
        <f>'приложение 6'!G338</f>
        <v>45.8</v>
      </c>
      <c r="G176" s="39">
        <f>'приложение 6'!H338</f>
        <v>0</v>
      </c>
      <c r="H176" s="39">
        <f>'приложение 6'!I338</f>
        <v>0</v>
      </c>
    </row>
    <row r="177" spans="1:8" ht="28.5" customHeight="1">
      <c r="A177" s="300"/>
      <c r="B177" s="306"/>
      <c r="C177" s="294"/>
      <c r="D177" s="42">
        <v>240</v>
      </c>
      <c r="E177" s="294"/>
      <c r="F177" s="39">
        <f>'приложение 6'!G340</f>
        <v>441.15</v>
      </c>
      <c r="G177" s="39">
        <f>'приложение 6'!H340</f>
        <v>202.1</v>
      </c>
      <c r="H177" s="39">
        <f>'приложение 6'!I340</f>
        <v>202.1</v>
      </c>
    </row>
    <row r="178" spans="1:8" ht="28.5">
      <c r="A178" s="42">
        <v>134</v>
      </c>
      <c r="B178" s="142" t="s">
        <v>235</v>
      </c>
      <c r="C178" s="82">
        <v>1000000000</v>
      </c>
      <c r="D178" s="82"/>
      <c r="E178" s="83"/>
      <c r="F178" s="85">
        <f>F179+F182+F187+F191+F194</f>
        <v>46561.776720000002</v>
      </c>
      <c r="G178" s="85">
        <f>G179+G182+G187+G191+G194</f>
        <v>41817.173999999999</v>
      </c>
      <c r="H178" s="85">
        <f>H179+H182+H187+H191+H194</f>
        <v>42059.87</v>
      </c>
    </row>
    <row r="179" spans="1:8" ht="30">
      <c r="A179" s="42">
        <v>135</v>
      </c>
      <c r="B179" s="69" t="s">
        <v>340</v>
      </c>
      <c r="C179" s="105">
        <v>1010000000</v>
      </c>
      <c r="D179" s="82"/>
      <c r="E179" s="83"/>
      <c r="F179" s="62">
        <f>F180+F181</f>
        <v>21221.62672</v>
      </c>
      <c r="G179" s="62">
        <f t="shared" ref="G179:H179" si="28">G180+G181</f>
        <v>21221.63</v>
      </c>
      <c r="H179" s="62">
        <f t="shared" si="28"/>
        <v>21221.63</v>
      </c>
    </row>
    <row r="180" spans="1:8" ht="90">
      <c r="A180" s="42">
        <v>136</v>
      </c>
      <c r="B180" s="135" t="s">
        <v>46</v>
      </c>
      <c r="C180" s="42">
        <f>'приложение 6'!E274</f>
        <v>1010023580</v>
      </c>
      <c r="D180" s="42">
        <v>810</v>
      </c>
      <c r="E180" s="43" t="s">
        <v>109</v>
      </c>
      <c r="F180" s="39">
        <f>'приложение 6'!G276</f>
        <v>17330.726719999999</v>
      </c>
      <c r="G180" s="39">
        <f>'приложение 6'!H276</f>
        <v>17330.73</v>
      </c>
      <c r="H180" s="39">
        <f>'приложение 6'!I276</f>
        <v>17330.73</v>
      </c>
    </row>
    <row r="181" spans="1:8" ht="90">
      <c r="A181" s="42">
        <v>137</v>
      </c>
      <c r="B181" s="101" t="s">
        <v>282</v>
      </c>
      <c r="C181" s="42">
        <f>'приложение 6'!E279</f>
        <v>1010023590</v>
      </c>
      <c r="D181" s="42">
        <v>810</v>
      </c>
      <c r="E181" s="43" t="s">
        <v>109</v>
      </c>
      <c r="F181" s="39">
        <f>'приложение 6'!G279</f>
        <v>3890.9</v>
      </c>
      <c r="G181" s="39">
        <f>'приложение 6'!H279</f>
        <v>3890.9</v>
      </c>
      <c r="H181" s="39">
        <f>'приложение 6'!I279</f>
        <v>3890.9</v>
      </c>
    </row>
    <row r="182" spans="1:8" ht="30">
      <c r="A182" s="42">
        <v>138</v>
      </c>
      <c r="B182" s="69" t="s">
        <v>144</v>
      </c>
      <c r="C182" s="105">
        <v>1020000000</v>
      </c>
      <c r="D182" s="82"/>
      <c r="E182" s="83"/>
      <c r="F182" s="62">
        <f>F186+F184+F183+F185</f>
        <v>2870.6</v>
      </c>
      <c r="G182" s="62">
        <f t="shared" ref="G182:H182" si="29">G186+G184+G183+G185</f>
        <v>809.09999999999991</v>
      </c>
      <c r="H182" s="62">
        <f t="shared" si="29"/>
        <v>828.2</v>
      </c>
    </row>
    <row r="183" spans="1:8" ht="39" customHeight="1">
      <c r="A183" s="298">
        <v>139</v>
      </c>
      <c r="B183" s="301" t="s">
        <v>540</v>
      </c>
      <c r="C183" s="303" t="str">
        <f>'приложение 6'!E76</f>
        <v>102R310601</v>
      </c>
      <c r="D183" s="203">
        <v>240</v>
      </c>
      <c r="E183" s="208" t="s">
        <v>111</v>
      </c>
      <c r="F183" s="84">
        <f>'приложение 6'!G288</f>
        <v>1187.3</v>
      </c>
      <c r="G183" s="84">
        <f>'приложение 6'!H288</f>
        <v>0</v>
      </c>
      <c r="H183" s="84">
        <f>'приложение 6'!I288</f>
        <v>0</v>
      </c>
    </row>
    <row r="184" spans="1:8" ht="44.25" customHeight="1">
      <c r="A184" s="300"/>
      <c r="B184" s="302"/>
      <c r="C184" s="304"/>
      <c r="D184" s="203">
        <v>520</v>
      </c>
      <c r="E184" s="208" t="s">
        <v>111</v>
      </c>
      <c r="F184" s="84">
        <f>'приложение 6'!G78</f>
        <v>345.4</v>
      </c>
      <c r="G184" s="84">
        <f>'приложение 6'!H78</f>
        <v>345.4</v>
      </c>
      <c r="H184" s="84">
        <f>'приложение 6'!I78</f>
        <v>345.4</v>
      </c>
    </row>
    <row r="185" spans="1:8" ht="44.25" customHeight="1">
      <c r="A185" s="243">
        <v>140</v>
      </c>
      <c r="B185" s="245" t="s">
        <v>581</v>
      </c>
      <c r="C185" s="246" t="str">
        <f>'приложение 6'!E79</f>
        <v>102R374270</v>
      </c>
      <c r="D185" s="243">
        <v>520</v>
      </c>
      <c r="E185" s="244" t="s">
        <v>111</v>
      </c>
      <c r="F185" s="84">
        <f>'приложение 6'!G81</f>
        <v>890.1</v>
      </c>
      <c r="G185" s="84">
        <f>'приложение 6'!H81</f>
        <v>0</v>
      </c>
      <c r="H185" s="84">
        <f>'приложение 6'!I81</f>
        <v>0</v>
      </c>
    </row>
    <row r="186" spans="1:8" ht="30">
      <c r="A186" s="42">
        <v>141</v>
      </c>
      <c r="B186" s="162" t="s">
        <v>501</v>
      </c>
      <c r="C186" s="42">
        <f>'приложение 6'!E283</f>
        <v>1020082220</v>
      </c>
      <c r="D186" s="42">
        <v>240</v>
      </c>
      <c r="E186" s="43" t="s">
        <v>111</v>
      </c>
      <c r="F186" s="39">
        <f>'приложение 6'!G283</f>
        <v>447.8</v>
      </c>
      <c r="G186" s="39">
        <f>'приложение 6'!H283</f>
        <v>463.7</v>
      </c>
      <c r="H186" s="39">
        <f>'приложение 6'!I283</f>
        <v>482.8</v>
      </c>
    </row>
    <row r="187" spans="1:8" ht="30">
      <c r="A187" s="42">
        <v>142</v>
      </c>
      <c r="B187" s="69" t="s">
        <v>319</v>
      </c>
      <c r="C187" s="105">
        <v>1030000000</v>
      </c>
      <c r="D187" s="105"/>
      <c r="E187" s="74"/>
      <c r="F187" s="62">
        <f>F188+F189+F190</f>
        <v>12802.9</v>
      </c>
      <c r="G187" s="62">
        <f t="shared" ref="G187:H187" si="30">G188+G189+G190</f>
        <v>14083.14</v>
      </c>
      <c r="H187" s="62">
        <f t="shared" si="30"/>
        <v>14083.14</v>
      </c>
    </row>
    <row r="188" spans="1:8">
      <c r="A188" s="315">
        <v>143</v>
      </c>
      <c r="B188" s="314" t="s">
        <v>452</v>
      </c>
      <c r="C188" s="303" t="str">
        <f>'приложение 6'!E290</f>
        <v>10300S5090</v>
      </c>
      <c r="D188" s="312">
        <v>240</v>
      </c>
      <c r="E188" s="313" t="s">
        <v>111</v>
      </c>
      <c r="F188" s="310">
        <f>'приложение 6'!G292</f>
        <v>12783.8</v>
      </c>
      <c r="G188" s="310">
        <f>'приложение 6'!H292</f>
        <v>14083.14</v>
      </c>
      <c r="H188" s="310">
        <f>'приложение 6'!I292</f>
        <v>14083.14</v>
      </c>
    </row>
    <row r="189" spans="1:8">
      <c r="A189" s="315"/>
      <c r="B189" s="314"/>
      <c r="C189" s="304"/>
      <c r="D189" s="312"/>
      <c r="E189" s="313"/>
      <c r="F189" s="311"/>
      <c r="G189" s="311"/>
      <c r="H189" s="311"/>
    </row>
    <row r="190" spans="1:8" ht="30">
      <c r="A190" s="229">
        <v>144</v>
      </c>
      <c r="B190" s="232" t="s">
        <v>576</v>
      </c>
      <c r="C190" s="233">
        <f>'приложение 6'!E295</f>
        <v>1030084580</v>
      </c>
      <c r="D190" s="236">
        <v>240</v>
      </c>
      <c r="E190" s="239" t="s">
        <v>111</v>
      </c>
      <c r="F190" s="238">
        <f>'приложение 6'!G295</f>
        <v>19.100000000000001</v>
      </c>
      <c r="G190" s="238">
        <f>'приложение 6'!H295</f>
        <v>0</v>
      </c>
      <c r="H190" s="238">
        <f>'приложение 6'!I295</f>
        <v>0</v>
      </c>
    </row>
    <row r="191" spans="1:8" ht="30">
      <c r="A191" s="42">
        <v>145</v>
      </c>
      <c r="B191" s="69" t="s">
        <v>341</v>
      </c>
      <c r="C191" s="105">
        <v>1040000000</v>
      </c>
      <c r="D191" s="105"/>
      <c r="E191" s="74"/>
      <c r="F191" s="62">
        <f>F192+F193</f>
        <v>5484</v>
      </c>
      <c r="G191" s="62">
        <f t="shared" ref="G191:H191" si="31">G192+G193</f>
        <v>5703.3040000000001</v>
      </c>
      <c r="H191" s="62">
        <f t="shared" si="31"/>
        <v>5926.9</v>
      </c>
    </row>
    <row r="192" spans="1:8" ht="30" customHeight="1">
      <c r="A192" s="315">
        <v>146</v>
      </c>
      <c r="B192" s="314" t="s">
        <v>418</v>
      </c>
      <c r="C192" s="176" t="s">
        <v>283</v>
      </c>
      <c r="D192" s="140">
        <v>240</v>
      </c>
      <c r="E192" s="141" t="s">
        <v>111</v>
      </c>
      <c r="F192" s="84">
        <f>'приложение 6'!G299</f>
        <v>333.08</v>
      </c>
      <c r="G192" s="84">
        <f>'приложение 6'!H299</f>
        <v>346.334</v>
      </c>
      <c r="H192" s="62">
        <f>'приложение 6'!I299</f>
        <v>0</v>
      </c>
    </row>
    <row r="193" spans="1:8" ht="30" customHeight="1">
      <c r="A193" s="315"/>
      <c r="B193" s="314"/>
      <c r="C193" s="176" t="s">
        <v>283</v>
      </c>
      <c r="D193" s="140">
        <v>540</v>
      </c>
      <c r="E193" s="141" t="s">
        <v>111</v>
      </c>
      <c r="F193" s="84">
        <f>'приложение 6'!G85</f>
        <v>5150.92</v>
      </c>
      <c r="G193" s="84">
        <f>'приложение 6'!H85</f>
        <v>5356.97</v>
      </c>
      <c r="H193" s="84">
        <f>'приложение 6'!I85</f>
        <v>5926.9</v>
      </c>
    </row>
    <row r="194" spans="1:8">
      <c r="A194" s="42">
        <v>147</v>
      </c>
      <c r="B194" s="103" t="s">
        <v>41</v>
      </c>
      <c r="C194" s="105"/>
      <c r="D194" s="105"/>
      <c r="E194" s="74"/>
      <c r="F194" s="62">
        <f>F195</f>
        <v>4182.6499999999996</v>
      </c>
      <c r="G194" s="62">
        <f t="shared" ref="G194:H194" si="32">G195</f>
        <v>0</v>
      </c>
      <c r="H194" s="62">
        <f t="shared" si="32"/>
        <v>0</v>
      </c>
    </row>
    <row r="195" spans="1:8" ht="30">
      <c r="A195" s="42">
        <v>148</v>
      </c>
      <c r="B195" s="107" t="s">
        <v>435</v>
      </c>
      <c r="C195" s="42" t="str">
        <f>'приложение 6'!E305</f>
        <v>109D276450</v>
      </c>
      <c r="D195" s="42">
        <v>240</v>
      </c>
      <c r="E195" s="43" t="s">
        <v>285</v>
      </c>
      <c r="F195" s="39">
        <f>'приложение 6'!G305</f>
        <v>4182.6499999999996</v>
      </c>
      <c r="G195" s="39">
        <f>'приложение 6'!H305</f>
        <v>0</v>
      </c>
      <c r="H195" s="39">
        <f>'приложение 6'!I305</f>
        <v>0</v>
      </c>
    </row>
    <row r="196" spans="1:8" ht="42.75">
      <c r="A196" s="42">
        <v>149</v>
      </c>
      <c r="B196" s="142" t="s">
        <v>236</v>
      </c>
      <c r="C196" s="82">
        <v>1100000000</v>
      </c>
      <c r="D196" s="42"/>
      <c r="E196" s="43"/>
      <c r="F196" s="85">
        <f>F197+F200+F202+F204+F206+F208</f>
        <v>130395.84</v>
      </c>
      <c r="G196" s="85">
        <f t="shared" ref="G196:H196" si="33">G197+G200+G202+G204+G206+G208</f>
        <v>92645.219999999987</v>
      </c>
      <c r="H196" s="85">
        <f t="shared" si="33"/>
        <v>4318.9400000000005</v>
      </c>
    </row>
    <row r="197" spans="1:8" ht="30">
      <c r="A197" s="42">
        <v>150</v>
      </c>
      <c r="B197" s="69" t="s">
        <v>145</v>
      </c>
      <c r="C197" s="105">
        <v>1110000000</v>
      </c>
      <c r="D197" s="82"/>
      <c r="E197" s="83"/>
      <c r="F197" s="62">
        <f>F198+F199</f>
        <v>126785.31999999999</v>
      </c>
      <c r="G197" s="62">
        <f t="shared" ref="G197:H197" si="34">G198+G199</f>
        <v>88313.68</v>
      </c>
      <c r="H197" s="62">
        <f t="shared" si="34"/>
        <v>0</v>
      </c>
    </row>
    <row r="198" spans="1:8" ht="105">
      <c r="A198" s="42">
        <v>151</v>
      </c>
      <c r="B198" s="101" t="s">
        <v>424</v>
      </c>
      <c r="C198" s="140" t="str">
        <f>'приложение 6'!E90</f>
        <v>111F367483</v>
      </c>
      <c r="D198" s="42">
        <v>520</v>
      </c>
      <c r="E198" s="43" t="s">
        <v>423</v>
      </c>
      <c r="F198" s="84">
        <f>'приложение 6'!G92</f>
        <v>86830.39</v>
      </c>
      <c r="G198" s="84">
        <f>'приложение 6'!H92</f>
        <v>60289.279999999999</v>
      </c>
      <c r="H198" s="84">
        <f>'приложение 6'!I92</f>
        <v>0</v>
      </c>
    </row>
    <row r="199" spans="1:8" ht="75">
      <c r="A199" s="42">
        <v>152</v>
      </c>
      <c r="B199" s="101" t="s">
        <v>426</v>
      </c>
      <c r="C199" s="140" t="str">
        <f>'приложение 6'!E95</f>
        <v>111F367484</v>
      </c>
      <c r="D199" s="42">
        <v>520</v>
      </c>
      <c r="E199" s="43" t="s">
        <v>423</v>
      </c>
      <c r="F199" s="84">
        <f>'приложение 6'!G95</f>
        <v>39954.929999999993</v>
      </c>
      <c r="G199" s="84">
        <f>'приложение 6'!H95</f>
        <v>28024.400000000001</v>
      </c>
      <c r="H199" s="84">
        <f>'приложение 6'!I95</f>
        <v>0</v>
      </c>
    </row>
    <row r="200" spans="1:8" ht="30">
      <c r="A200" s="42">
        <v>153</v>
      </c>
      <c r="B200" s="69" t="s">
        <v>146</v>
      </c>
      <c r="C200" s="105">
        <v>1120000000</v>
      </c>
      <c r="D200" s="82"/>
      <c r="E200" s="83"/>
      <c r="F200" s="62">
        <f>F201</f>
        <v>2058.92</v>
      </c>
      <c r="G200" s="62">
        <f t="shared" ref="G200:H200" si="35">G201</f>
        <v>2020.64</v>
      </c>
      <c r="H200" s="62">
        <f t="shared" si="35"/>
        <v>2008.04</v>
      </c>
    </row>
    <row r="201" spans="1:8" ht="15.75">
      <c r="A201" s="42">
        <v>154</v>
      </c>
      <c r="B201" s="135" t="s">
        <v>152</v>
      </c>
      <c r="C201" s="87" t="str">
        <f>'приложение 6'!E368</f>
        <v>11200L4970</v>
      </c>
      <c r="D201" s="42">
        <v>320</v>
      </c>
      <c r="E201" s="43" t="s">
        <v>131</v>
      </c>
      <c r="F201" s="39">
        <f>'приложение 6'!G370</f>
        <v>2058.92</v>
      </c>
      <c r="G201" s="39">
        <f>'приложение 6'!H370</f>
        <v>2020.64</v>
      </c>
      <c r="H201" s="39">
        <f>'приложение 6'!I370</f>
        <v>2008.04</v>
      </c>
    </row>
    <row r="202" spans="1:8" ht="45">
      <c r="A202" s="42">
        <v>155</v>
      </c>
      <c r="B202" s="69" t="s">
        <v>147</v>
      </c>
      <c r="C202" s="105">
        <v>1130000000</v>
      </c>
      <c r="D202" s="82"/>
      <c r="E202" s="83"/>
      <c r="F202" s="62">
        <f>F203</f>
        <v>722</v>
      </c>
      <c r="G202" s="62">
        <f t="shared" ref="G202:H202" si="36">G203</f>
        <v>0</v>
      </c>
      <c r="H202" s="62">
        <f t="shared" si="36"/>
        <v>0</v>
      </c>
    </row>
    <row r="203" spans="1:8" ht="45">
      <c r="A203" s="42">
        <v>156</v>
      </c>
      <c r="B203" s="101" t="s">
        <v>260</v>
      </c>
      <c r="C203" s="87" t="s">
        <v>286</v>
      </c>
      <c r="D203" s="42">
        <v>240</v>
      </c>
      <c r="E203" s="43" t="s">
        <v>112</v>
      </c>
      <c r="F203" s="39">
        <f>'приложение 6'!G315</f>
        <v>722</v>
      </c>
      <c r="G203" s="62">
        <f>'приложение 6'!H315</f>
        <v>0</v>
      </c>
      <c r="H203" s="62">
        <f>'приложение 6'!I315</f>
        <v>0</v>
      </c>
    </row>
    <row r="204" spans="1:8" ht="60">
      <c r="A204" s="42">
        <v>157</v>
      </c>
      <c r="B204" s="185" t="s">
        <v>148</v>
      </c>
      <c r="C204" s="105">
        <v>1140000000</v>
      </c>
      <c r="D204" s="82"/>
      <c r="E204" s="83"/>
      <c r="F204" s="62">
        <f>F205</f>
        <v>100</v>
      </c>
      <c r="G204" s="62">
        <f t="shared" ref="G204:H204" si="37">G205</f>
        <v>100</v>
      </c>
      <c r="H204" s="62">
        <f t="shared" si="37"/>
        <v>100</v>
      </c>
    </row>
    <row r="205" spans="1:8">
      <c r="A205" s="42">
        <v>158</v>
      </c>
      <c r="B205" s="135" t="s">
        <v>457</v>
      </c>
      <c r="C205" s="105">
        <f>'приложение 6'!E322</f>
        <v>1140092030</v>
      </c>
      <c r="D205" s="82">
        <v>240</v>
      </c>
      <c r="E205" s="83" t="s">
        <v>423</v>
      </c>
      <c r="F205" s="62">
        <f>'приложение 6'!G322</f>
        <v>100</v>
      </c>
      <c r="G205" s="62">
        <f>'приложение 6'!H322</f>
        <v>100</v>
      </c>
      <c r="H205" s="62">
        <f>'приложение 6'!I322</f>
        <v>100</v>
      </c>
    </row>
    <row r="206" spans="1:8" ht="45">
      <c r="A206" s="42">
        <v>159</v>
      </c>
      <c r="B206" s="185" t="s">
        <v>149</v>
      </c>
      <c r="C206" s="105">
        <v>1150000000</v>
      </c>
      <c r="D206" s="82"/>
      <c r="E206" s="83"/>
      <c r="F206" s="62">
        <f>F207</f>
        <v>0</v>
      </c>
      <c r="G206" s="62">
        <f t="shared" ref="G206:H206" si="38">G207</f>
        <v>1430.4</v>
      </c>
      <c r="H206" s="62">
        <f t="shared" si="38"/>
        <v>1430.4</v>
      </c>
    </row>
    <row r="207" spans="1:8" ht="60">
      <c r="A207" s="42">
        <v>160</v>
      </c>
      <c r="B207" s="135" t="s">
        <v>62</v>
      </c>
      <c r="C207" s="42" t="str">
        <f>'приложение 6'!E374</f>
        <v>11500R0820</v>
      </c>
      <c r="D207" s="42">
        <v>410</v>
      </c>
      <c r="E207" s="43" t="s">
        <v>175</v>
      </c>
      <c r="F207" s="39">
        <f>'приложение 6'!G376</f>
        <v>0</v>
      </c>
      <c r="G207" s="39">
        <f>'приложение 6'!H376</f>
        <v>1430.4</v>
      </c>
      <c r="H207" s="39">
        <f>'приложение 6'!I376</f>
        <v>1430.4</v>
      </c>
    </row>
    <row r="208" spans="1:8">
      <c r="A208" s="42">
        <v>161</v>
      </c>
      <c r="B208" s="68" t="s">
        <v>150</v>
      </c>
      <c r="C208" s="105"/>
      <c r="D208" s="82"/>
      <c r="E208" s="83"/>
      <c r="F208" s="62">
        <f>F209+F210</f>
        <v>729.6</v>
      </c>
      <c r="G208" s="62">
        <f t="shared" ref="G208:H208" si="39">G209+G210</f>
        <v>780.5</v>
      </c>
      <c r="H208" s="62">
        <f t="shared" si="39"/>
        <v>780.5</v>
      </c>
    </row>
    <row r="209" spans="1:8">
      <c r="A209" s="315">
        <v>162</v>
      </c>
      <c r="B209" s="316" t="s">
        <v>280</v>
      </c>
      <c r="C209" s="315">
        <f>'приложение 6'!E247</f>
        <v>1190074670</v>
      </c>
      <c r="D209" s="42">
        <v>120</v>
      </c>
      <c r="E209" s="43" t="s">
        <v>97</v>
      </c>
      <c r="F209" s="39">
        <f>'приложение 6'!G249</f>
        <v>681.82</v>
      </c>
      <c r="G209" s="39">
        <f>'приложение 6'!H249</f>
        <v>732.72</v>
      </c>
      <c r="H209" s="39">
        <f>'приложение 6'!I249</f>
        <v>732.72</v>
      </c>
    </row>
    <row r="210" spans="1:8">
      <c r="A210" s="315"/>
      <c r="B210" s="316"/>
      <c r="C210" s="315"/>
      <c r="D210" s="42">
        <v>240</v>
      </c>
      <c r="E210" s="43" t="s">
        <v>97</v>
      </c>
      <c r="F210" s="39">
        <f>'приложение 6'!G251</f>
        <v>47.78</v>
      </c>
      <c r="G210" s="39">
        <f>'приложение 6'!H251</f>
        <v>47.78</v>
      </c>
      <c r="H210" s="39">
        <f>'приложение 6'!I251</f>
        <v>47.78</v>
      </c>
    </row>
    <row r="211" spans="1:8" ht="30">
      <c r="A211" s="42">
        <v>163</v>
      </c>
      <c r="B211" s="143" t="s">
        <v>363</v>
      </c>
      <c r="C211" s="105">
        <v>8100000000</v>
      </c>
      <c r="D211" s="105"/>
      <c r="E211" s="74"/>
      <c r="F211" s="62">
        <f>F212</f>
        <v>5466.66</v>
      </c>
      <c r="G211" s="62">
        <f t="shared" ref="G211:H211" si="40">G212</f>
        <v>5943.67</v>
      </c>
      <c r="H211" s="62">
        <f t="shared" si="40"/>
        <v>5943.67</v>
      </c>
    </row>
    <row r="212" spans="1:8">
      <c r="A212" s="42">
        <v>164</v>
      </c>
      <c r="B212" s="103" t="s">
        <v>298</v>
      </c>
      <c r="C212" s="105">
        <v>8110000000</v>
      </c>
      <c r="D212" s="105"/>
      <c r="E212" s="74"/>
      <c r="F212" s="62">
        <f>F213+F214+F216+F217+F218+F219+F215</f>
        <v>5466.66</v>
      </c>
      <c r="G212" s="62">
        <f t="shared" ref="G212:H212" si="41">G213+G214+G216+G217+G218+G219+G215</f>
        <v>5943.67</v>
      </c>
      <c r="H212" s="62">
        <f t="shared" si="41"/>
        <v>5943.67</v>
      </c>
    </row>
    <row r="213" spans="1:8" ht="26.25" customHeight="1">
      <c r="A213" s="298">
        <v>165</v>
      </c>
      <c r="B213" s="295" t="s">
        <v>354</v>
      </c>
      <c r="C213" s="298">
        <v>8110000210</v>
      </c>
      <c r="D213" s="140">
        <v>120</v>
      </c>
      <c r="E213" s="141" t="s">
        <v>93</v>
      </c>
      <c r="F213" s="84">
        <f>'приложение 6'!G784</f>
        <v>1375.34</v>
      </c>
      <c r="G213" s="84">
        <f>'приложение 6'!H784</f>
        <v>1435.34</v>
      </c>
      <c r="H213" s="84">
        <f>'приложение 6'!I784</f>
        <v>1435.34</v>
      </c>
    </row>
    <row r="214" spans="1:8" ht="33.75" customHeight="1">
      <c r="A214" s="299"/>
      <c r="B214" s="296"/>
      <c r="C214" s="299"/>
      <c r="D214" s="140">
        <v>240</v>
      </c>
      <c r="E214" s="141" t="s">
        <v>93</v>
      </c>
      <c r="F214" s="84">
        <f>'приложение 6'!G786</f>
        <v>853.46999999999991</v>
      </c>
      <c r="G214" s="84">
        <f>'приложение 6'!H786</f>
        <v>1121.8699999999999</v>
      </c>
      <c r="H214" s="84">
        <f>'приложение 6'!I786</f>
        <v>1121.8699999999999</v>
      </c>
    </row>
    <row r="215" spans="1:8" ht="33.75" customHeight="1">
      <c r="A215" s="300"/>
      <c r="B215" s="297"/>
      <c r="C215" s="300"/>
      <c r="D215" s="186">
        <v>850</v>
      </c>
      <c r="E215" s="187" t="s">
        <v>93</v>
      </c>
      <c r="F215" s="84">
        <f>'приложение 6'!G788</f>
        <v>3</v>
      </c>
      <c r="G215" s="84">
        <f>'приложение 6'!H788</f>
        <v>0</v>
      </c>
      <c r="H215" s="84">
        <f>'приложение 6'!I788</f>
        <v>0</v>
      </c>
    </row>
    <row r="216" spans="1:8" ht="60.75" customHeight="1">
      <c r="A216" s="42">
        <v>166</v>
      </c>
      <c r="B216" s="135" t="s">
        <v>355</v>
      </c>
      <c r="C216" s="42">
        <f>'приложение 6'!E789</f>
        <v>8110000220</v>
      </c>
      <c r="D216" s="140">
        <v>120</v>
      </c>
      <c r="E216" s="141" t="s">
        <v>93</v>
      </c>
      <c r="F216" s="84">
        <f>'приложение 6'!G791</f>
        <v>400.04</v>
      </c>
      <c r="G216" s="84">
        <f>'приложение 6'!H791</f>
        <v>400.04</v>
      </c>
      <c r="H216" s="84">
        <f>'приложение 6'!I791</f>
        <v>400.04</v>
      </c>
    </row>
    <row r="217" spans="1:8" ht="53.25" customHeight="1">
      <c r="A217" s="42">
        <v>167</v>
      </c>
      <c r="B217" s="101" t="s">
        <v>475</v>
      </c>
      <c r="C217" s="42">
        <f>'приложение 6'!E792</f>
        <v>8110000230</v>
      </c>
      <c r="D217" s="140">
        <v>120</v>
      </c>
      <c r="E217" s="141" t="s">
        <v>93</v>
      </c>
      <c r="F217" s="84">
        <f>'приложение 6'!G794</f>
        <v>819.18000000000006</v>
      </c>
      <c r="G217" s="84">
        <f>'приложение 6'!H794</f>
        <v>1439.18</v>
      </c>
      <c r="H217" s="84">
        <f>'приложение 6'!I794</f>
        <v>1439.18</v>
      </c>
    </row>
    <row r="218" spans="1:8">
      <c r="A218" s="42">
        <v>168</v>
      </c>
      <c r="B218" s="135" t="s">
        <v>352</v>
      </c>
      <c r="C218" s="42">
        <v>8110000240</v>
      </c>
      <c r="D218" s="140">
        <v>120</v>
      </c>
      <c r="E218" s="141" t="s">
        <v>93</v>
      </c>
      <c r="F218" s="84">
        <f>'приложение 6'!G797</f>
        <v>1517.24</v>
      </c>
      <c r="G218" s="84">
        <f>'приложение 6'!H797</f>
        <v>1547.24</v>
      </c>
      <c r="H218" s="84">
        <f>'приложение 6'!I797</f>
        <v>1547.24</v>
      </c>
    </row>
    <row r="219" spans="1:8" ht="30">
      <c r="A219" s="188">
        <v>169</v>
      </c>
      <c r="B219" s="190" t="s">
        <v>519</v>
      </c>
      <c r="C219" s="188">
        <f>'приложение 6'!E800</f>
        <v>8110010360</v>
      </c>
      <c r="D219" s="186">
        <v>120</v>
      </c>
      <c r="E219" s="187" t="s">
        <v>93</v>
      </c>
      <c r="F219" s="84">
        <f>'приложение 6'!G800</f>
        <v>498.39</v>
      </c>
      <c r="G219" s="84">
        <f>'приложение 6'!H800</f>
        <v>0</v>
      </c>
      <c r="H219" s="84">
        <f>'приложение 6'!I800</f>
        <v>0</v>
      </c>
    </row>
    <row r="220" spans="1:8" ht="28.5">
      <c r="A220" s="42">
        <v>170</v>
      </c>
      <c r="B220" s="147" t="s">
        <v>324</v>
      </c>
      <c r="C220" s="82">
        <v>8200000000</v>
      </c>
      <c r="D220" s="82"/>
      <c r="E220" s="82"/>
      <c r="F220" s="148">
        <f>F221</f>
        <v>2013.58</v>
      </c>
      <c r="G220" s="148">
        <f t="shared" ref="G220:H220" si="42">G221</f>
        <v>1867.79</v>
      </c>
      <c r="H220" s="148">
        <f t="shared" si="42"/>
        <v>1867.79</v>
      </c>
    </row>
    <row r="221" spans="1:8" ht="30">
      <c r="A221" s="42">
        <v>171</v>
      </c>
      <c r="B221" s="103" t="s">
        <v>297</v>
      </c>
      <c r="C221" s="105">
        <v>8210000000</v>
      </c>
      <c r="D221" s="105"/>
      <c r="E221" s="105"/>
      <c r="F221" s="138">
        <f>F222+F223+F224+F225</f>
        <v>2013.58</v>
      </c>
      <c r="G221" s="196">
        <f t="shared" ref="G221:H221" si="43">G222+G223+G224+G225</f>
        <v>1867.79</v>
      </c>
      <c r="H221" s="196">
        <f t="shared" si="43"/>
        <v>1867.79</v>
      </c>
    </row>
    <row r="222" spans="1:8" ht="15" customHeight="1">
      <c r="A222" s="315">
        <v>172</v>
      </c>
      <c r="B222" s="319" t="s">
        <v>78</v>
      </c>
      <c r="C222" s="315">
        <v>8210000210</v>
      </c>
      <c r="D222" s="42">
        <v>120</v>
      </c>
      <c r="E222" s="43" t="s">
        <v>95</v>
      </c>
      <c r="F222" s="139">
        <f>'приложение 6'!G769</f>
        <v>1690.98</v>
      </c>
      <c r="G222" s="139">
        <f>'приложение 6'!H769</f>
        <v>1707.58</v>
      </c>
      <c r="H222" s="139">
        <f>'приложение 6'!I769</f>
        <v>1707.58</v>
      </c>
    </row>
    <row r="223" spans="1:8">
      <c r="A223" s="315"/>
      <c r="B223" s="319"/>
      <c r="C223" s="315"/>
      <c r="D223" s="42">
        <v>240</v>
      </c>
      <c r="E223" s="43" t="s">
        <v>95</v>
      </c>
      <c r="F223" s="139">
        <f>'приложение 6'!G771</f>
        <v>129.21</v>
      </c>
      <c r="G223" s="139">
        <f>'приложение 6'!H771</f>
        <v>159.21</v>
      </c>
      <c r="H223" s="139">
        <f>'приложение 6'!I771</f>
        <v>159.21</v>
      </c>
    </row>
    <row r="224" spans="1:8">
      <c r="A224" s="315"/>
      <c r="B224" s="319"/>
      <c r="C224" s="315"/>
      <c r="D224" s="42">
        <v>850</v>
      </c>
      <c r="E224" s="43" t="s">
        <v>95</v>
      </c>
      <c r="F224" s="139">
        <f>'приложение 6'!G773</f>
        <v>1</v>
      </c>
      <c r="G224" s="139">
        <f>'приложение 6'!H773</f>
        <v>1</v>
      </c>
      <c r="H224" s="139">
        <f>'приложение 6'!I773</f>
        <v>1</v>
      </c>
    </row>
    <row r="225" spans="1:8" ht="30">
      <c r="A225" s="191">
        <v>173</v>
      </c>
      <c r="B225" s="195" t="s">
        <v>519</v>
      </c>
      <c r="C225" s="191">
        <f>'приложение 6'!E774</f>
        <v>8210010360</v>
      </c>
      <c r="D225" s="191">
        <v>120</v>
      </c>
      <c r="E225" s="192" t="s">
        <v>95</v>
      </c>
      <c r="F225" s="197">
        <f>'приложение 6'!G776</f>
        <v>192.39</v>
      </c>
      <c r="G225" s="197">
        <f>'приложение 6'!H776</f>
        <v>0</v>
      </c>
      <c r="H225" s="197">
        <f>'приложение 6'!I776</f>
        <v>0</v>
      </c>
    </row>
    <row r="226" spans="1:8" ht="28.5">
      <c r="A226" s="42">
        <v>174</v>
      </c>
      <c r="B226" s="149" t="s">
        <v>320</v>
      </c>
      <c r="C226" s="105">
        <v>8500000000</v>
      </c>
      <c r="D226" s="42"/>
      <c r="E226" s="43"/>
      <c r="F226" s="85">
        <f>F227</f>
        <v>39187.789999999994</v>
      </c>
      <c r="G226" s="85">
        <f t="shared" ref="G226:H226" si="44">G227</f>
        <v>30524.530000000002</v>
      </c>
      <c r="H226" s="85">
        <f t="shared" si="44"/>
        <v>30525.210000000003</v>
      </c>
    </row>
    <row r="227" spans="1:8">
      <c r="A227" s="42">
        <v>175</v>
      </c>
      <c r="B227" s="104" t="s">
        <v>271</v>
      </c>
      <c r="C227" s="105">
        <v>8510000000</v>
      </c>
      <c r="D227" s="105"/>
      <c r="E227" s="74"/>
      <c r="F227" s="62">
        <f>F228+F229+F230+F231+F232+F233+F235+F236+F237+F238+F241+F242+F243+F244+F245+F246+F247+F248+F249+F250+F251+F240+F234+F252+F239+F253</f>
        <v>39187.789999999994</v>
      </c>
      <c r="G227" s="62">
        <f t="shared" ref="G227:H227" si="45">G228+G229+G230+G231+G232+G233+G235+G236+G237+G238+G241+G242+G243+G244+G245+G246+G247+G248+G249+G250+G251+G240+G234+G252+G239+G253</f>
        <v>30524.530000000002</v>
      </c>
      <c r="H227" s="62">
        <f t="shared" si="45"/>
        <v>30525.210000000003</v>
      </c>
    </row>
    <row r="228" spans="1:8" ht="30">
      <c r="A228" s="42">
        <v>176</v>
      </c>
      <c r="B228" s="135" t="s">
        <v>272</v>
      </c>
      <c r="C228" s="42">
        <v>8510000210</v>
      </c>
      <c r="D228" s="42">
        <v>120</v>
      </c>
      <c r="E228" s="43" t="s">
        <v>91</v>
      </c>
      <c r="F228" s="39">
        <f>'приложение 6'!G176</f>
        <v>1727.01</v>
      </c>
      <c r="G228" s="39">
        <f>'приложение 6'!H176</f>
        <v>1727.01</v>
      </c>
      <c r="H228" s="39">
        <f>'приложение 6'!I176</f>
        <v>1727.01</v>
      </c>
    </row>
    <row r="229" spans="1:8">
      <c r="A229" s="298">
        <v>177</v>
      </c>
      <c r="B229" s="316" t="s">
        <v>429</v>
      </c>
      <c r="C229" s="309" t="s">
        <v>275</v>
      </c>
      <c r="D229" s="42">
        <v>120</v>
      </c>
      <c r="E229" s="43" t="s">
        <v>94</v>
      </c>
      <c r="F229" s="39">
        <f>'приложение 6'!G185</f>
        <v>16618.599999999999</v>
      </c>
      <c r="G229" s="39">
        <f>'приложение 6'!H185</f>
        <v>15583.95</v>
      </c>
      <c r="H229" s="39">
        <f>'приложение 6'!I185</f>
        <v>15583.95</v>
      </c>
    </row>
    <row r="230" spans="1:8">
      <c r="A230" s="299"/>
      <c r="B230" s="316"/>
      <c r="C230" s="309"/>
      <c r="D230" s="42">
        <v>240</v>
      </c>
      <c r="E230" s="43" t="s">
        <v>94</v>
      </c>
      <c r="F230" s="39">
        <f>'приложение 6'!G187</f>
        <v>6218.0399999999991</v>
      </c>
      <c r="G230" s="39">
        <f>'приложение 6'!H187</f>
        <v>6382.9</v>
      </c>
      <c r="H230" s="39">
        <f>'приложение 6'!I187</f>
        <v>6382.9</v>
      </c>
    </row>
    <row r="231" spans="1:8">
      <c r="A231" s="300"/>
      <c r="B231" s="316"/>
      <c r="C231" s="309"/>
      <c r="D231" s="42">
        <v>850</v>
      </c>
      <c r="E231" s="43" t="s">
        <v>94</v>
      </c>
      <c r="F231" s="39">
        <f>'приложение 6'!G189</f>
        <v>770.36</v>
      </c>
      <c r="G231" s="39">
        <f>'приложение 6'!H189</f>
        <v>639.44000000000005</v>
      </c>
      <c r="H231" s="39">
        <f>'приложение 6'!I189</f>
        <v>639.44000000000005</v>
      </c>
    </row>
    <row r="232" spans="1:8" ht="45">
      <c r="A232" s="42">
        <v>178</v>
      </c>
      <c r="B232" s="101" t="s">
        <v>431</v>
      </c>
      <c r="C232" s="43" t="str">
        <f>'приложение 6'!E190</f>
        <v>8510000250</v>
      </c>
      <c r="D232" s="42">
        <v>120</v>
      </c>
      <c r="E232" s="43" t="s">
        <v>94</v>
      </c>
      <c r="F232" s="39">
        <f>'приложение 6'!G192</f>
        <v>3077.11</v>
      </c>
      <c r="G232" s="39">
        <f>'приложение 6'!H192</f>
        <v>3077.11</v>
      </c>
      <c r="H232" s="39">
        <f>'приложение 6'!I192</f>
        <v>3077.11</v>
      </c>
    </row>
    <row r="233" spans="1:8" ht="30">
      <c r="A233" s="42">
        <v>179</v>
      </c>
      <c r="B233" s="101" t="s">
        <v>467</v>
      </c>
      <c r="C233" s="137">
        <f>'приложение 6'!E208</f>
        <v>8510000260</v>
      </c>
      <c r="D233" s="42">
        <v>880</v>
      </c>
      <c r="E233" s="43" t="s">
        <v>465</v>
      </c>
      <c r="F233" s="39">
        <f>'приложение 6'!G210</f>
        <v>1451.2</v>
      </c>
      <c r="G233" s="39">
        <f>'приложение 6'!H210</f>
        <v>0</v>
      </c>
      <c r="H233" s="39">
        <f>'приложение 6'!I210</f>
        <v>0</v>
      </c>
    </row>
    <row r="234" spans="1:8">
      <c r="A234" s="298">
        <v>180</v>
      </c>
      <c r="B234" s="307" t="s">
        <v>519</v>
      </c>
      <c r="C234" s="292" t="str">
        <f>'приложение 6'!E195</f>
        <v>8510010360</v>
      </c>
      <c r="D234" s="298">
        <v>120</v>
      </c>
      <c r="E234" s="208" t="s">
        <v>91</v>
      </c>
      <c r="F234" s="39">
        <f>'приложение 6'!G179</f>
        <v>201.51</v>
      </c>
      <c r="G234" s="39">
        <f>'приложение 6'!H179</f>
        <v>0</v>
      </c>
      <c r="H234" s="39">
        <f>'приложение 6'!I179</f>
        <v>0</v>
      </c>
    </row>
    <row r="235" spans="1:8">
      <c r="A235" s="300"/>
      <c r="B235" s="308"/>
      <c r="C235" s="294"/>
      <c r="D235" s="300"/>
      <c r="E235" s="208" t="s">
        <v>94</v>
      </c>
      <c r="F235" s="39">
        <f>'приложение 6'!G195</f>
        <v>1959.4199999999998</v>
      </c>
      <c r="G235" s="39">
        <f>'приложение 6'!H195</f>
        <v>0</v>
      </c>
      <c r="H235" s="39">
        <f>'приложение 6'!I195</f>
        <v>0</v>
      </c>
    </row>
    <row r="236" spans="1:8" ht="45">
      <c r="A236" s="42">
        <v>181</v>
      </c>
      <c r="B236" s="101" t="s">
        <v>364</v>
      </c>
      <c r="C236" s="43" t="str">
        <f>'приложение 6'!E196</f>
        <v>8510010490</v>
      </c>
      <c r="D236" s="42">
        <v>120</v>
      </c>
      <c r="E236" s="43" t="s">
        <v>94</v>
      </c>
      <c r="F236" s="39">
        <f>'приложение 6'!G198</f>
        <v>76.2</v>
      </c>
      <c r="G236" s="39">
        <f>'приложение 6'!H198</f>
        <v>0</v>
      </c>
      <c r="H236" s="39">
        <f>'приложение 6'!I198</f>
        <v>0</v>
      </c>
    </row>
    <row r="237" spans="1:8" ht="60">
      <c r="A237" s="42">
        <v>182</v>
      </c>
      <c r="B237" s="232" t="s">
        <v>478</v>
      </c>
      <c r="C237" s="42">
        <v>8510051200</v>
      </c>
      <c r="D237" s="42">
        <v>240</v>
      </c>
      <c r="E237" s="43" t="s">
        <v>167</v>
      </c>
      <c r="F237" s="39">
        <f>'приложение 6'!G204</f>
        <v>5</v>
      </c>
      <c r="G237" s="39">
        <f>'приложение 6'!H204</f>
        <v>5.3999999999999995</v>
      </c>
      <c r="H237" s="39">
        <f>'приложение 6'!I204</f>
        <v>41.8</v>
      </c>
    </row>
    <row r="238" spans="1:8">
      <c r="A238" s="42">
        <v>183</v>
      </c>
      <c r="B238" s="47" t="s">
        <v>36</v>
      </c>
      <c r="C238" s="42">
        <v>8510010110</v>
      </c>
      <c r="D238" s="42">
        <v>870</v>
      </c>
      <c r="E238" s="43" t="s">
        <v>96</v>
      </c>
      <c r="F238" s="39">
        <f>'приложение 6'!G216</f>
        <v>150</v>
      </c>
      <c r="G238" s="39">
        <f>'приложение 6'!H216</f>
        <v>150</v>
      </c>
      <c r="H238" s="39">
        <f>'приложение 6'!I216</f>
        <v>150</v>
      </c>
    </row>
    <row r="239" spans="1:8" ht="45">
      <c r="A239" s="229">
        <v>184</v>
      </c>
      <c r="B239" s="232" t="s">
        <v>577</v>
      </c>
      <c r="C239" s="229">
        <f>'приложение 6'!E222</f>
        <v>8510029990</v>
      </c>
      <c r="D239" s="229">
        <v>870</v>
      </c>
      <c r="E239" s="231" t="s">
        <v>97</v>
      </c>
      <c r="F239" s="39">
        <f>'приложение 6'!G222</f>
        <v>3366.8</v>
      </c>
      <c r="G239" s="39">
        <f>'приложение 6'!H222</f>
        <v>0</v>
      </c>
      <c r="H239" s="39">
        <f>'приложение 6'!I222</f>
        <v>0</v>
      </c>
    </row>
    <row r="240" spans="1:8" ht="30">
      <c r="A240" s="203">
        <v>185</v>
      </c>
      <c r="B240" s="210" t="s">
        <v>551</v>
      </c>
      <c r="C240" s="203">
        <f>'приложение 6'!E225</f>
        <v>8510054690</v>
      </c>
      <c r="D240" s="203">
        <v>240</v>
      </c>
      <c r="E240" s="208" t="s">
        <v>97</v>
      </c>
      <c r="F240" s="39">
        <f>'приложение 6'!G225</f>
        <v>143</v>
      </c>
      <c r="G240" s="39">
        <f>'приложение 6'!H225</f>
        <v>0</v>
      </c>
      <c r="H240" s="39">
        <f>'приложение 6'!I225</f>
        <v>0</v>
      </c>
    </row>
    <row r="241" spans="1:8">
      <c r="A241" s="315">
        <v>186</v>
      </c>
      <c r="B241" s="318" t="s">
        <v>38</v>
      </c>
      <c r="C241" s="315">
        <v>8510074290</v>
      </c>
      <c r="D241" s="42">
        <v>120</v>
      </c>
      <c r="E241" s="43" t="s">
        <v>97</v>
      </c>
      <c r="F241" s="39">
        <f>'приложение 6'!G228</f>
        <v>40.94</v>
      </c>
      <c r="G241" s="39">
        <f>'приложение 6'!H228</f>
        <v>51.24</v>
      </c>
      <c r="H241" s="39">
        <f>'приложение 6'!I228</f>
        <v>51.24</v>
      </c>
    </row>
    <row r="242" spans="1:8">
      <c r="A242" s="315"/>
      <c r="B242" s="318"/>
      <c r="C242" s="315"/>
      <c r="D242" s="42">
        <v>240</v>
      </c>
      <c r="E242" s="43" t="s">
        <v>97</v>
      </c>
      <c r="F242" s="39">
        <f>'приложение 6'!G230</f>
        <v>1.96</v>
      </c>
      <c r="G242" s="39">
        <f>'приложение 6'!H230</f>
        <v>1.96</v>
      </c>
      <c r="H242" s="39">
        <f>'приложение 6'!I230</f>
        <v>1.96</v>
      </c>
    </row>
    <row r="243" spans="1:8">
      <c r="A243" s="315">
        <v>187</v>
      </c>
      <c r="B243" s="316" t="s">
        <v>32</v>
      </c>
      <c r="C243" s="315">
        <v>8510076040</v>
      </c>
      <c r="D243" s="42">
        <v>120</v>
      </c>
      <c r="E243" s="43" t="s">
        <v>97</v>
      </c>
      <c r="F243" s="39">
        <f>'приложение 6'!G233</f>
        <v>681.82</v>
      </c>
      <c r="G243" s="39">
        <f>'приложение 6'!H233</f>
        <v>732.62</v>
      </c>
      <c r="H243" s="39">
        <f>'приложение 6'!I233</f>
        <v>732.62</v>
      </c>
    </row>
    <row r="244" spans="1:8">
      <c r="A244" s="315"/>
      <c r="B244" s="316"/>
      <c r="C244" s="315"/>
      <c r="D244" s="42">
        <v>240</v>
      </c>
      <c r="E244" s="43" t="s">
        <v>97</v>
      </c>
      <c r="F244" s="39">
        <f>'приложение 6'!G235</f>
        <v>57.68</v>
      </c>
      <c r="G244" s="39">
        <f>'приложение 6'!H235</f>
        <v>57.68</v>
      </c>
      <c r="H244" s="39">
        <f>'приложение 6'!I235</f>
        <v>57.68</v>
      </c>
    </row>
    <row r="245" spans="1:8" ht="60">
      <c r="A245" s="42">
        <v>188</v>
      </c>
      <c r="B245" s="135" t="s">
        <v>39</v>
      </c>
      <c r="C245" s="42">
        <v>8510092020</v>
      </c>
      <c r="D245" s="42">
        <v>830</v>
      </c>
      <c r="E245" s="43" t="s">
        <v>97</v>
      </c>
      <c r="F245" s="39">
        <f>'приложение 6'!G238</f>
        <v>1000</v>
      </c>
      <c r="G245" s="39">
        <f>'приложение 6'!H238</f>
        <v>1000</v>
      </c>
      <c r="H245" s="39">
        <f>'приложение 6'!I238</f>
        <v>1000</v>
      </c>
    </row>
    <row r="246" spans="1:8" ht="30" customHeight="1">
      <c r="A246" s="176">
        <v>189</v>
      </c>
      <c r="B246" s="177" t="s">
        <v>254</v>
      </c>
      <c r="C246" s="42" t="s">
        <v>278</v>
      </c>
      <c r="D246" s="42">
        <v>240</v>
      </c>
      <c r="E246" s="43" t="s">
        <v>97</v>
      </c>
      <c r="F246" s="39">
        <f>'приложение 6'!G241</f>
        <v>195.2</v>
      </c>
      <c r="G246" s="39">
        <f>'приложение 6'!H241</f>
        <v>200.2</v>
      </c>
      <c r="H246" s="39">
        <f>'приложение 6'!I241</f>
        <v>200.2</v>
      </c>
    </row>
    <row r="247" spans="1:8" ht="30" customHeight="1">
      <c r="A247" s="315">
        <v>190</v>
      </c>
      <c r="B247" s="316" t="s">
        <v>454</v>
      </c>
      <c r="C247" s="317">
        <f>'приложение 6'!E387</f>
        <v>8510002890</v>
      </c>
      <c r="D247" s="42">
        <v>120</v>
      </c>
      <c r="E247" s="309" t="s">
        <v>132</v>
      </c>
      <c r="F247" s="39">
        <f>'приложение 6'!G388</f>
        <v>681.82</v>
      </c>
      <c r="G247" s="39">
        <f>'приложение 6'!H388</f>
        <v>732.72</v>
      </c>
      <c r="H247" s="39">
        <f>'приложение 6'!I388</f>
        <v>732.72</v>
      </c>
    </row>
    <row r="248" spans="1:8" ht="30" customHeight="1">
      <c r="A248" s="315"/>
      <c r="B248" s="316"/>
      <c r="C248" s="317"/>
      <c r="D248" s="42">
        <v>240</v>
      </c>
      <c r="E248" s="309"/>
      <c r="F248" s="39">
        <f>'приложение 6'!G390</f>
        <v>124.68</v>
      </c>
      <c r="G248" s="39">
        <f>'приложение 6'!H390</f>
        <v>124.68</v>
      </c>
      <c r="H248" s="39">
        <f>'приложение 6'!I390</f>
        <v>124.68</v>
      </c>
    </row>
    <row r="249" spans="1:8" ht="30" customHeight="1">
      <c r="A249" s="42">
        <v>191</v>
      </c>
      <c r="B249" s="169" t="s">
        <v>502</v>
      </c>
      <c r="C249" s="137">
        <f>'приложение 6'!E244</f>
        <v>8510084570</v>
      </c>
      <c r="D249" s="42">
        <v>240</v>
      </c>
      <c r="E249" s="43" t="s">
        <v>97</v>
      </c>
      <c r="F249" s="39">
        <f>'приложение 6'!G244</f>
        <v>46.67</v>
      </c>
      <c r="G249" s="39">
        <f>'приложение 6'!H244</f>
        <v>57.62</v>
      </c>
      <c r="H249" s="39">
        <f>'приложение 6'!I244</f>
        <v>21.9</v>
      </c>
    </row>
    <row r="250" spans="1:8" ht="30" customHeight="1">
      <c r="A250" s="298">
        <v>192</v>
      </c>
      <c r="B250" s="301" t="s">
        <v>503</v>
      </c>
      <c r="C250" s="166" t="str">
        <f>'приложение 6'!E380</f>
        <v>85100S4240</v>
      </c>
      <c r="D250" s="165">
        <v>120</v>
      </c>
      <c r="E250" s="167" t="s">
        <v>132</v>
      </c>
      <c r="F250" s="39">
        <f>'приложение 6'!G382</f>
        <v>0</v>
      </c>
      <c r="G250" s="39">
        <f>'приложение 6'!H382</f>
        <v>0</v>
      </c>
      <c r="H250" s="39">
        <f>'приложение 6'!I382</f>
        <v>0</v>
      </c>
    </row>
    <row r="251" spans="1:8" ht="30" customHeight="1">
      <c r="A251" s="300"/>
      <c r="B251" s="302"/>
      <c r="C251" s="166">
        <f>'приложение 6'!E383</f>
        <v>8510000060</v>
      </c>
      <c r="D251" s="165">
        <v>120</v>
      </c>
      <c r="E251" s="167" t="s">
        <v>132</v>
      </c>
      <c r="F251" s="39">
        <f>'приложение 6'!G385</f>
        <v>0</v>
      </c>
      <c r="G251" s="39">
        <f>'приложение 6'!H385</f>
        <v>0</v>
      </c>
      <c r="H251" s="39">
        <f>'приложение 6'!I385</f>
        <v>0</v>
      </c>
    </row>
    <row r="252" spans="1:8" ht="30" customHeight="1">
      <c r="A252" s="230">
        <v>193</v>
      </c>
      <c r="B252" s="232" t="s">
        <v>578</v>
      </c>
      <c r="C252" s="237" t="str">
        <f>'приложение 6'!E256</f>
        <v>851W058530</v>
      </c>
      <c r="D252" s="229">
        <v>240</v>
      </c>
      <c r="E252" s="231" t="s">
        <v>103</v>
      </c>
      <c r="F252" s="39">
        <f>'приложение 6'!G258</f>
        <v>170.2</v>
      </c>
      <c r="G252" s="39">
        <f>'приложение 6'!H258</f>
        <v>0</v>
      </c>
      <c r="H252" s="39">
        <f>'приложение 6'!I258</f>
        <v>0</v>
      </c>
    </row>
    <row r="253" spans="1:8" ht="30" customHeight="1">
      <c r="A253" s="277">
        <v>194</v>
      </c>
      <c r="B253" s="281" t="s">
        <v>591</v>
      </c>
      <c r="C253" s="282">
        <f>'приложение 6'!E261</f>
        <v>8510000270</v>
      </c>
      <c r="D253" s="278">
        <v>240</v>
      </c>
      <c r="E253" s="279" t="s">
        <v>103</v>
      </c>
      <c r="F253" s="39">
        <f>'приложение 6'!G261</f>
        <v>422.57</v>
      </c>
      <c r="G253" s="39">
        <f>'приложение 6'!H261</f>
        <v>0</v>
      </c>
      <c r="H253" s="39">
        <f>'приложение 6'!I261</f>
        <v>0</v>
      </c>
    </row>
    <row r="254" spans="1:8">
      <c r="A254" s="42">
        <v>195</v>
      </c>
      <c r="B254" s="154" t="s">
        <v>321</v>
      </c>
      <c r="C254" s="105">
        <v>9100000000</v>
      </c>
      <c r="D254" s="42"/>
      <c r="E254" s="43"/>
      <c r="F254" s="85">
        <f>F255+F259+F265</f>
        <v>68691.44</v>
      </c>
      <c r="G254" s="85">
        <f t="shared" ref="G254:H254" si="46">G255+G259+G265</f>
        <v>65588.080000000016</v>
      </c>
      <c r="H254" s="85">
        <f t="shared" si="46"/>
        <v>65588.08</v>
      </c>
    </row>
    <row r="255" spans="1:8">
      <c r="A255" s="42">
        <v>196</v>
      </c>
      <c r="B255" s="185" t="s">
        <v>295</v>
      </c>
      <c r="C255" s="74" t="s">
        <v>323</v>
      </c>
      <c r="D255" s="105"/>
      <c r="E255" s="74"/>
      <c r="F255" s="62">
        <f>F256+F257+F258</f>
        <v>107.63</v>
      </c>
      <c r="G255" s="62">
        <f t="shared" ref="G255:H255" si="47">G256+G257</f>
        <v>0</v>
      </c>
      <c r="H255" s="62">
        <f t="shared" si="47"/>
        <v>0</v>
      </c>
    </row>
    <row r="256" spans="1:8" ht="30" customHeight="1">
      <c r="A256" s="298">
        <v>197</v>
      </c>
      <c r="B256" s="295" t="s">
        <v>322</v>
      </c>
      <c r="C256" s="298">
        <v>9120000610</v>
      </c>
      <c r="D256" s="42">
        <v>110</v>
      </c>
      <c r="E256" s="43" t="s">
        <v>97</v>
      </c>
      <c r="F256" s="39">
        <f>'приложение 6'!G477</f>
        <v>107.19</v>
      </c>
      <c r="G256" s="39">
        <f>'приложение 6'!H477</f>
        <v>0</v>
      </c>
      <c r="H256" s="39">
        <f>'приложение 6'!I477</f>
        <v>0</v>
      </c>
    </row>
    <row r="257" spans="1:8">
      <c r="A257" s="299"/>
      <c r="B257" s="296"/>
      <c r="C257" s="299"/>
      <c r="D257" s="42">
        <v>240</v>
      </c>
      <c r="E257" s="43" t="s">
        <v>97</v>
      </c>
      <c r="F257" s="39">
        <f>'приложение 6'!G479</f>
        <v>0</v>
      </c>
      <c r="G257" s="39">
        <f>'приложение 6'!H479</f>
        <v>0</v>
      </c>
      <c r="H257" s="39">
        <f>'приложение 6'!I479</f>
        <v>0</v>
      </c>
    </row>
    <row r="258" spans="1:8">
      <c r="A258" s="300"/>
      <c r="B258" s="297"/>
      <c r="C258" s="300"/>
      <c r="D258" s="188">
        <v>850</v>
      </c>
      <c r="E258" s="189" t="s">
        <v>97</v>
      </c>
      <c r="F258" s="39">
        <f>'приложение 6'!G481</f>
        <v>0.44</v>
      </c>
      <c r="G258" s="39">
        <f>'приложение 6'!H481</f>
        <v>0</v>
      </c>
      <c r="H258" s="39">
        <f>'приложение 6'!I481</f>
        <v>0</v>
      </c>
    </row>
    <row r="259" spans="1:8" ht="30">
      <c r="A259" s="42">
        <v>198</v>
      </c>
      <c r="B259" s="185" t="s">
        <v>301</v>
      </c>
      <c r="C259" s="105">
        <v>9150000000</v>
      </c>
      <c r="D259" s="105"/>
      <c r="E259" s="74"/>
      <c r="F259" s="62">
        <f>F260+F261+F262+F264+F263</f>
        <v>12309.48</v>
      </c>
      <c r="G259" s="62">
        <f t="shared" ref="G259:H259" si="48">G260+G261+G262+G264+G263</f>
        <v>11531.220000000001</v>
      </c>
      <c r="H259" s="62">
        <f t="shared" si="48"/>
        <v>11531.220000000001</v>
      </c>
    </row>
    <row r="260" spans="1:8">
      <c r="A260" s="315">
        <v>199</v>
      </c>
      <c r="B260" s="316" t="s">
        <v>322</v>
      </c>
      <c r="C260" s="315">
        <v>9150000620</v>
      </c>
      <c r="D260" s="42">
        <v>110</v>
      </c>
      <c r="E260" s="43" t="s">
        <v>97</v>
      </c>
      <c r="F260" s="39">
        <f>'приложение 6'!G489</f>
        <v>6868.22</v>
      </c>
      <c r="G260" s="39">
        <f>'приложение 6'!H489</f>
        <v>6868.22</v>
      </c>
      <c r="H260" s="39">
        <f>'приложение 6'!I489</f>
        <v>6868.22</v>
      </c>
    </row>
    <row r="261" spans="1:8">
      <c r="A261" s="315"/>
      <c r="B261" s="316"/>
      <c r="C261" s="315"/>
      <c r="D261" s="42">
        <v>240</v>
      </c>
      <c r="E261" s="43" t="s">
        <v>97</v>
      </c>
      <c r="F261" s="39">
        <f>'приложение 6'!G491</f>
        <v>4535.74</v>
      </c>
      <c r="G261" s="39">
        <f>'приложение 6'!H491</f>
        <v>4633</v>
      </c>
      <c r="H261" s="39">
        <f>'приложение 6'!I491</f>
        <v>4633</v>
      </c>
    </row>
    <row r="262" spans="1:8">
      <c r="A262" s="315"/>
      <c r="B262" s="316"/>
      <c r="C262" s="315"/>
      <c r="D262" s="42">
        <v>850</v>
      </c>
      <c r="E262" s="43" t="s">
        <v>97</v>
      </c>
      <c r="F262" s="39">
        <f>'приложение 6'!G493</f>
        <v>30</v>
      </c>
      <c r="G262" s="39">
        <f>'приложение 6'!H493</f>
        <v>30</v>
      </c>
      <c r="H262" s="39">
        <f>'приложение 6'!I493</f>
        <v>30</v>
      </c>
    </row>
    <row r="263" spans="1:8">
      <c r="A263" s="229">
        <v>200</v>
      </c>
      <c r="B263" s="232" t="s">
        <v>574</v>
      </c>
      <c r="C263" s="229">
        <f>'приложение 6'!E496</f>
        <v>9150084580</v>
      </c>
      <c r="D263" s="229">
        <v>240</v>
      </c>
      <c r="E263" s="231" t="s">
        <v>97</v>
      </c>
      <c r="F263" s="39">
        <f>'приложение 6'!G496</f>
        <v>97.26</v>
      </c>
      <c r="G263" s="39">
        <f>'приложение 6'!H496</f>
        <v>0</v>
      </c>
      <c r="H263" s="39">
        <f>'приложение 6'!I496</f>
        <v>0</v>
      </c>
    </row>
    <row r="264" spans="1:8" ht="30">
      <c r="A264" s="188">
        <v>201</v>
      </c>
      <c r="B264" s="190" t="s">
        <v>519</v>
      </c>
      <c r="C264" s="188">
        <f>'приложение 6'!E497</f>
        <v>9150010360</v>
      </c>
      <c r="D264" s="188">
        <v>110</v>
      </c>
      <c r="E264" s="189" t="s">
        <v>97</v>
      </c>
      <c r="F264" s="39">
        <f>'приложение 6'!G499</f>
        <v>778.26</v>
      </c>
      <c r="G264" s="39">
        <f>'приложение 6'!H499</f>
        <v>0</v>
      </c>
      <c r="H264" s="39">
        <f>'приложение 6'!I499</f>
        <v>0</v>
      </c>
    </row>
    <row r="265" spans="1:8" ht="30">
      <c r="A265" s="42">
        <v>202</v>
      </c>
      <c r="B265" s="185" t="s">
        <v>292</v>
      </c>
      <c r="C265" s="105">
        <v>9170000000</v>
      </c>
      <c r="D265" s="105"/>
      <c r="E265" s="74"/>
      <c r="F265" s="62">
        <f>F266+F267+F268+F271+F272+F270+F269</f>
        <v>56274.330000000009</v>
      </c>
      <c r="G265" s="62">
        <f t="shared" ref="G265:H265" si="49">G266+G267+G268+G271+G272+G270+G269</f>
        <v>54056.860000000008</v>
      </c>
      <c r="H265" s="62">
        <f t="shared" si="49"/>
        <v>54056.86</v>
      </c>
    </row>
    <row r="266" spans="1:8">
      <c r="A266" s="315">
        <v>203</v>
      </c>
      <c r="B266" s="316" t="s">
        <v>322</v>
      </c>
      <c r="C266" s="309" t="s">
        <v>294</v>
      </c>
      <c r="D266" s="42">
        <v>110</v>
      </c>
      <c r="E266" s="43" t="s">
        <v>97</v>
      </c>
      <c r="F266" s="39">
        <f>'приложение 6'!G454</f>
        <v>49481.390000000007</v>
      </c>
      <c r="G266" s="39">
        <f>'приложение 6'!H454</f>
        <v>49704.72</v>
      </c>
      <c r="H266" s="39">
        <f>'приложение 6'!I454</f>
        <v>50642.16</v>
      </c>
    </row>
    <row r="267" spans="1:8">
      <c r="A267" s="315"/>
      <c r="B267" s="316"/>
      <c r="C267" s="309"/>
      <c r="D267" s="42">
        <v>240</v>
      </c>
      <c r="E267" s="43" t="s">
        <v>97</v>
      </c>
      <c r="F267" s="39">
        <f>'приложение 6'!G456</f>
        <v>2305.5700000000002</v>
      </c>
      <c r="G267" s="39">
        <f>'приложение 6'!H456</f>
        <v>3037.3</v>
      </c>
      <c r="H267" s="39">
        <f>'приложение 6'!I456</f>
        <v>3071.59</v>
      </c>
    </row>
    <row r="268" spans="1:8">
      <c r="A268" s="315"/>
      <c r="B268" s="316"/>
      <c r="C268" s="309"/>
      <c r="D268" s="42">
        <v>850</v>
      </c>
      <c r="E268" s="43" t="s">
        <v>97</v>
      </c>
      <c r="F268" s="39">
        <f>'приложение 6'!G458</f>
        <v>13</v>
      </c>
      <c r="G268" s="39">
        <f>'приложение 6'!H458</f>
        <v>3</v>
      </c>
      <c r="H268" s="39">
        <f>'приложение 6'!I458</f>
        <v>3</v>
      </c>
    </row>
    <row r="269" spans="1:8" ht="30">
      <c r="A269" s="188">
        <v>204</v>
      </c>
      <c r="B269" s="190" t="s">
        <v>519</v>
      </c>
      <c r="C269" s="189" t="str">
        <f>'приложение 6'!E461</f>
        <v>9170010360</v>
      </c>
      <c r="D269" s="188">
        <v>110</v>
      </c>
      <c r="E269" s="189" t="s">
        <v>97</v>
      </c>
      <c r="F269" s="39">
        <f>'приложение 6'!G461</f>
        <v>1692.39</v>
      </c>
      <c r="G269" s="39">
        <f>'приложение 6'!H461</f>
        <v>0</v>
      </c>
      <c r="H269" s="39">
        <f>'приложение 6'!I461</f>
        <v>0</v>
      </c>
    </row>
    <row r="270" spans="1:8" ht="45">
      <c r="A270" s="42">
        <v>205</v>
      </c>
      <c r="B270" s="101" t="s">
        <v>364</v>
      </c>
      <c r="C270" s="43" t="str">
        <f>'приложение 6'!E463</f>
        <v>9170010490</v>
      </c>
      <c r="D270" s="42">
        <v>110</v>
      </c>
      <c r="E270" s="43" t="s">
        <v>97</v>
      </c>
      <c r="F270" s="39">
        <f>'приложение 6'!G464</f>
        <v>1470.14</v>
      </c>
      <c r="G270" s="39">
        <f>'приложение 6'!H464</f>
        <v>0</v>
      </c>
      <c r="H270" s="39">
        <f>'приложение 6'!I464</f>
        <v>0</v>
      </c>
    </row>
    <row r="271" spans="1:8" ht="30" customHeight="1">
      <c r="A271" s="315">
        <v>206</v>
      </c>
      <c r="B271" s="320" t="s">
        <v>357</v>
      </c>
      <c r="C271" s="309" t="str">
        <f>'приложение 6'!E466</f>
        <v>9170084560</v>
      </c>
      <c r="D271" s="42">
        <v>110</v>
      </c>
      <c r="E271" s="43" t="s">
        <v>97</v>
      </c>
      <c r="F271" s="39">
        <f>'приложение 6'!G467</f>
        <v>1263.83</v>
      </c>
      <c r="G271" s="39">
        <f>'приложение 6'!H467</f>
        <v>1263.83</v>
      </c>
      <c r="H271" s="39">
        <f>'приложение 6'!I467</f>
        <v>326.39</v>
      </c>
    </row>
    <row r="272" spans="1:8" ht="19.5" customHeight="1">
      <c r="A272" s="315"/>
      <c r="B272" s="320"/>
      <c r="C272" s="309"/>
      <c r="D272" s="42">
        <v>240</v>
      </c>
      <c r="E272" s="43" t="s">
        <v>97</v>
      </c>
      <c r="F272" s="39">
        <f>'приложение 6'!G469</f>
        <v>48.01</v>
      </c>
      <c r="G272" s="39">
        <f>'приложение 6'!H469</f>
        <v>48.01</v>
      </c>
      <c r="H272" s="39">
        <f>'приложение 6'!I469</f>
        <v>13.72</v>
      </c>
    </row>
    <row r="273" spans="1:8" ht="28.5">
      <c r="A273" s="42">
        <v>207</v>
      </c>
      <c r="B273" s="149" t="s">
        <v>237</v>
      </c>
      <c r="C273" s="105">
        <v>9200000000</v>
      </c>
      <c r="D273" s="42"/>
      <c r="E273" s="43"/>
      <c r="F273" s="85">
        <f>F274+F282</f>
        <v>7124.8399999999992</v>
      </c>
      <c r="G273" s="85">
        <f t="shared" ref="G273:H273" si="50">G274+G282</f>
        <v>1771.9999999999998</v>
      </c>
      <c r="H273" s="85">
        <f t="shared" si="50"/>
        <v>1818.5</v>
      </c>
    </row>
    <row r="274" spans="1:8" ht="30">
      <c r="A274" s="42">
        <v>208</v>
      </c>
      <c r="B274" s="185" t="s">
        <v>276</v>
      </c>
      <c r="C274" s="105">
        <v>9210000000</v>
      </c>
      <c r="D274" s="105"/>
      <c r="E274" s="74"/>
      <c r="F274" s="62">
        <f>F275+F276+F277+F279+F280+F281+F278</f>
        <v>6725.94</v>
      </c>
      <c r="G274" s="62">
        <f t="shared" ref="G274:H274" si="51">G275+G276+G277+G279+G280+G281+G278</f>
        <v>1771.9999999999998</v>
      </c>
      <c r="H274" s="62">
        <f t="shared" si="51"/>
        <v>1818.5</v>
      </c>
    </row>
    <row r="275" spans="1:8" ht="60">
      <c r="A275" s="42">
        <v>209</v>
      </c>
      <c r="B275" s="135" t="s">
        <v>476</v>
      </c>
      <c r="C275" s="42">
        <v>9210075140</v>
      </c>
      <c r="D275" s="42">
        <v>530</v>
      </c>
      <c r="E275" s="43" t="s">
        <v>97</v>
      </c>
      <c r="F275" s="39">
        <f>'приложение 6'!G48</f>
        <v>72.8</v>
      </c>
      <c r="G275" s="39">
        <f>'приложение 6'!H48</f>
        <v>77.099999999999994</v>
      </c>
      <c r="H275" s="39">
        <f>'приложение 6'!I48</f>
        <v>77.099999999999994</v>
      </c>
    </row>
    <row r="276" spans="1:8" ht="45">
      <c r="A276" s="42">
        <v>210</v>
      </c>
      <c r="B276" s="101" t="s">
        <v>477</v>
      </c>
      <c r="C276" s="42">
        <v>9210099990</v>
      </c>
      <c r="D276" s="42">
        <v>870</v>
      </c>
      <c r="E276" s="43" t="s">
        <v>97</v>
      </c>
      <c r="F276" s="39">
        <f>'приложение 6'!G51</f>
        <v>36.700000000000102</v>
      </c>
      <c r="G276" s="39">
        <f>'приложение 6'!H51</f>
        <v>0</v>
      </c>
      <c r="H276" s="39">
        <f>'приложение 6'!I51</f>
        <v>0</v>
      </c>
    </row>
    <row r="277" spans="1:8" ht="45">
      <c r="A277" s="42">
        <v>211</v>
      </c>
      <c r="B277" s="102" t="s">
        <v>417</v>
      </c>
      <c r="C277" s="42">
        <v>9210051180</v>
      </c>
      <c r="D277" s="42">
        <v>530</v>
      </c>
      <c r="E277" s="43" t="s">
        <v>100</v>
      </c>
      <c r="F277" s="39">
        <f>'приложение 6'!G58</f>
        <v>1683.7</v>
      </c>
      <c r="G277" s="39">
        <f>'приложение 6'!H58</f>
        <v>1693.8999999999999</v>
      </c>
      <c r="H277" s="39">
        <f>'приложение 6'!I58</f>
        <v>1741.4</v>
      </c>
    </row>
    <row r="278" spans="1:8" ht="45">
      <c r="A278" s="203">
        <v>212</v>
      </c>
      <c r="B278" s="206" t="s">
        <v>548</v>
      </c>
      <c r="C278" s="208" t="str">
        <f>'приложение 6'!E165</f>
        <v>9210010360</v>
      </c>
      <c r="D278" s="203">
        <v>520</v>
      </c>
      <c r="E278" s="208" t="s">
        <v>135</v>
      </c>
      <c r="F278" s="39">
        <f>'приложение 6'!G165</f>
        <v>3645.74</v>
      </c>
      <c r="G278" s="39">
        <f>'приложение 6'!H165</f>
        <v>0</v>
      </c>
      <c r="H278" s="39">
        <f>'приложение 6'!I165</f>
        <v>0</v>
      </c>
    </row>
    <row r="279" spans="1:8" ht="45">
      <c r="A279" s="42">
        <v>213</v>
      </c>
      <c r="B279" s="101" t="s">
        <v>411</v>
      </c>
      <c r="C279" s="43" t="str">
        <f>'приложение 6'!E168</f>
        <v>9210010490</v>
      </c>
      <c r="D279" s="42">
        <v>540</v>
      </c>
      <c r="E279" s="43" t="s">
        <v>135</v>
      </c>
      <c r="F279" s="39">
        <f>'приложение 6'!G168</f>
        <v>1255</v>
      </c>
      <c r="G279" s="39">
        <f>'приложение 6'!H168</f>
        <v>0</v>
      </c>
      <c r="H279" s="39">
        <f>'приложение 6'!I168</f>
        <v>0</v>
      </c>
    </row>
    <row r="280" spans="1:8">
      <c r="A280" s="42">
        <v>214</v>
      </c>
      <c r="B280" s="101" t="s">
        <v>455</v>
      </c>
      <c r="C280" s="43" t="str">
        <f>'приложение 6'!E42</f>
        <v>9210084550</v>
      </c>
      <c r="D280" s="42">
        <v>240</v>
      </c>
      <c r="E280" s="43" t="s">
        <v>95</v>
      </c>
      <c r="F280" s="39">
        <f>'приложение 6'!G42</f>
        <v>1</v>
      </c>
      <c r="G280" s="39">
        <f>'приложение 6'!H42</f>
        <v>1</v>
      </c>
      <c r="H280" s="39">
        <f>'приложение 6'!I42</f>
        <v>0</v>
      </c>
    </row>
    <row r="281" spans="1:8">
      <c r="A281" s="176">
        <v>215</v>
      </c>
      <c r="B281" s="182" t="s">
        <v>513</v>
      </c>
      <c r="C281" s="178">
        <f>'приложение 6'!E139</f>
        <v>9210000910</v>
      </c>
      <c r="D281" s="176">
        <v>730</v>
      </c>
      <c r="E281" s="179" t="s">
        <v>512</v>
      </c>
      <c r="F281" s="39">
        <f>'приложение 6'!G139</f>
        <v>31</v>
      </c>
      <c r="G281" s="39">
        <f>'приложение 6'!H139</f>
        <v>0</v>
      </c>
      <c r="H281" s="39">
        <f>'приложение 6'!I139</f>
        <v>0</v>
      </c>
    </row>
    <row r="282" spans="1:8" ht="30">
      <c r="A282" s="203">
        <v>216</v>
      </c>
      <c r="B282" s="209" t="s">
        <v>557</v>
      </c>
      <c r="C282" s="207">
        <v>9220000000</v>
      </c>
      <c r="D282" s="203"/>
      <c r="E282" s="208"/>
      <c r="F282" s="62">
        <f>F283+F284+F285</f>
        <v>398.9</v>
      </c>
      <c r="G282" s="62">
        <f t="shared" ref="G282:H282" si="52">G283+G284+G285</f>
        <v>0</v>
      </c>
      <c r="H282" s="62">
        <f t="shared" si="52"/>
        <v>0</v>
      </c>
    </row>
    <row r="283" spans="1:8">
      <c r="A283" s="298">
        <v>217</v>
      </c>
      <c r="B283" s="286" t="s">
        <v>559</v>
      </c>
      <c r="C283" s="289" t="str">
        <f>'приложение 6'!E761</f>
        <v>92200S4240</v>
      </c>
      <c r="D283" s="203">
        <v>240</v>
      </c>
      <c r="E283" s="292" t="s">
        <v>132</v>
      </c>
      <c r="F283" s="39">
        <f>'приложение 6'!G757</f>
        <v>317.74</v>
      </c>
      <c r="G283" s="39"/>
      <c r="H283" s="39"/>
    </row>
    <row r="284" spans="1:8">
      <c r="A284" s="299"/>
      <c r="B284" s="287"/>
      <c r="C284" s="290"/>
      <c r="D284" s="203">
        <v>320</v>
      </c>
      <c r="E284" s="293"/>
      <c r="F284" s="39">
        <f>'приложение 6'!G759</f>
        <v>80.66</v>
      </c>
      <c r="G284" s="39"/>
      <c r="H284" s="39"/>
    </row>
    <row r="285" spans="1:8">
      <c r="A285" s="300"/>
      <c r="B285" s="288"/>
      <c r="C285" s="291"/>
      <c r="D285" s="203">
        <v>850</v>
      </c>
      <c r="E285" s="294"/>
      <c r="F285" s="39">
        <f>'приложение 6'!G761</f>
        <v>0.5</v>
      </c>
      <c r="G285" s="39"/>
      <c r="H285" s="39"/>
    </row>
    <row r="286" spans="1:8">
      <c r="A286" s="42">
        <v>218</v>
      </c>
      <c r="B286" s="101" t="s">
        <v>136</v>
      </c>
      <c r="C286" s="42"/>
      <c r="D286" s="42"/>
      <c r="E286" s="43"/>
      <c r="F286" s="39"/>
      <c r="G286" s="39">
        <f>'приложение 6'!H801</f>
        <v>26739.200000000001</v>
      </c>
      <c r="H286" s="39">
        <f>'приложение 6'!I801</f>
        <v>49596.1</v>
      </c>
    </row>
    <row r="287" spans="1:8">
      <c r="A287" s="42">
        <v>219</v>
      </c>
      <c r="B287" s="147" t="s">
        <v>155</v>
      </c>
      <c r="C287" s="82"/>
      <c r="D287" s="82"/>
      <c r="E287" s="83"/>
      <c r="F287" s="85">
        <f>F20+F57+F101+F111+F123+F148+F160+F170+F178+F196+F15+F211+F220+F226+F254+F273</f>
        <v>1267373.7472800002</v>
      </c>
      <c r="G287" s="85">
        <f>G20+G57+G101+G111+G123+G148+G160+G170+G178+G196+G15+G211+G220+G226+G254+G273+G286</f>
        <v>1100136.7589999998</v>
      </c>
      <c r="H287" s="85">
        <f>H20+H57+H101+H111+H123+H148+H160+H170+H178+H196+H15+H211+H220+H226+H254+H273+H286</f>
        <v>1039303.6049999997</v>
      </c>
    </row>
    <row r="288" spans="1:8">
      <c r="A288" s="150"/>
      <c r="B288" s="151"/>
      <c r="C288" s="152"/>
      <c r="D288" s="152"/>
      <c r="E288" s="152"/>
      <c r="F288" s="152"/>
      <c r="G288" s="152"/>
      <c r="H288" s="152"/>
    </row>
    <row r="289" spans="1:8">
      <c r="A289" s="65"/>
      <c r="B289" s="66"/>
      <c r="C289" s="54"/>
      <c r="D289" s="54"/>
      <c r="E289" s="54"/>
      <c r="F289" s="67">
        <f>'приложение 6'!G802-'приложение 7'!F287</f>
        <v>0</v>
      </c>
      <c r="G289" s="67">
        <f>'приложение 6'!H802-'приложение 7'!G287</f>
        <v>0</v>
      </c>
      <c r="H289" s="67">
        <f>'приложение 6'!I802-'приложение 7'!H287</f>
        <v>0</v>
      </c>
    </row>
    <row r="290" spans="1:8">
      <c r="A290" s="65"/>
      <c r="B290" s="66"/>
      <c r="C290" s="54"/>
      <c r="D290" s="54"/>
      <c r="E290" s="54"/>
      <c r="F290" s="54"/>
      <c r="G290" s="54"/>
      <c r="H290" s="54"/>
    </row>
    <row r="291" spans="1:8">
      <c r="A291" s="65"/>
      <c r="B291" s="66"/>
      <c r="C291" s="54"/>
      <c r="D291" s="54"/>
      <c r="E291" s="54"/>
      <c r="F291" s="54"/>
      <c r="G291" s="54"/>
      <c r="H291" s="54"/>
    </row>
    <row r="292" spans="1:8">
      <c r="A292" s="65"/>
      <c r="B292" s="66"/>
      <c r="C292" s="54"/>
      <c r="D292" s="54"/>
      <c r="E292" s="54"/>
      <c r="F292" s="54"/>
      <c r="G292" s="54"/>
      <c r="H292" s="54"/>
    </row>
    <row r="293" spans="1:8">
      <c r="A293" s="65"/>
      <c r="B293" s="66"/>
      <c r="C293" s="54"/>
      <c r="D293" s="54"/>
      <c r="E293" s="54"/>
      <c r="F293" s="54"/>
      <c r="G293" s="54"/>
      <c r="H293" s="54"/>
    </row>
    <row r="294" spans="1:8">
      <c r="A294" s="65"/>
      <c r="B294" s="66"/>
      <c r="C294" s="54"/>
      <c r="D294" s="54"/>
      <c r="E294" s="54"/>
      <c r="F294" s="54"/>
      <c r="G294" s="54"/>
      <c r="H294" s="54"/>
    </row>
    <row r="295" spans="1:8">
      <c r="A295" s="65"/>
      <c r="B295" s="66"/>
      <c r="C295" s="54"/>
      <c r="D295" s="54"/>
      <c r="E295" s="54"/>
      <c r="F295" s="54"/>
      <c r="G295" s="54"/>
      <c r="H295" s="54"/>
    </row>
    <row r="296" spans="1:8">
      <c r="A296" s="65"/>
      <c r="B296" s="66"/>
      <c r="C296" s="54"/>
      <c r="D296" s="54"/>
      <c r="E296" s="54"/>
      <c r="F296" s="54"/>
      <c r="G296" s="54"/>
      <c r="H296" s="54"/>
    </row>
    <row r="297" spans="1:8">
      <c r="A297" s="65"/>
      <c r="B297" s="66"/>
      <c r="C297" s="54"/>
      <c r="D297" s="54"/>
      <c r="E297" s="54"/>
      <c r="F297" s="54"/>
      <c r="G297" s="54"/>
      <c r="H297" s="54"/>
    </row>
    <row r="298" spans="1:8">
      <c r="A298" s="65"/>
      <c r="B298" s="66"/>
      <c r="C298" s="54"/>
      <c r="D298" s="54"/>
      <c r="E298" s="54"/>
      <c r="F298" s="54"/>
      <c r="G298" s="54"/>
      <c r="H298" s="54"/>
    </row>
    <row r="299" spans="1:8">
      <c r="A299" s="65"/>
      <c r="B299" s="66"/>
      <c r="C299" s="54"/>
      <c r="D299" s="54"/>
      <c r="E299" s="54"/>
      <c r="F299" s="54"/>
      <c r="G299" s="54"/>
      <c r="H299" s="54"/>
    </row>
    <row r="300" spans="1:8">
      <c r="A300" s="65"/>
      <c r="B300" s="66"/>
      <c r="C300" s="54"/>
      <c r="D300" s="54"/>
      <c r="E300" s="54"/>
      <c r="F300" s="54"/>
      <c r="G300" s="54"/>
      <c r="H300" s="54"/>
    </row>
    <row r="301" spans="1:8">
      <c r="A301" s="65"/>
      <c r="B301" s="66"/>
      <c r="C301" s="54"/>
      <c r="D301" s="54"/>
      <c r="E301" s="54"/>
      <c r="F301" s="54"/>
      <c r="G301" s="54"/>
      <c r="H301" s="54"/>
    </row>
    <row r="302" spans="1:8">
      <c r="A302" s="65"/>
      <c r="B302" s="66"/>
      <c r="C302" s="54"/>
      <c r="D302" s="54"/>
      <c r="E302" s="54"/>
      <c r="F302" s="54"/>
      <c r="G302" s="54"/>
      <c r="H302" s="54"/>
    </row>
    <row r="303" spans="1:8">
      <c r="A303" s="65"/>
      <c r="B303" s="66"/>
      <c r="C303" s="54"/>
      <c r="D303" s="54"/>
      <c r="E303" s="54"/>
      <c r="F303" s="54"/>
      <c r="G303" s="54"/>
      <c r="H303" s="54"/>
    </row>
    <row r="304" spans="1:8">
      <c r="A304" s="65"/>
      <c r="B304" s="66"/>
      <c r="C304" s="54"/>
      <c r="D304" s="54"/>
      <c r="E304" s="54"/>
      <c r="F304" s="54"/>
      <c r="G304" s="54"/>
      <c r="H304" s="54"/>
    </row>
    <row r="305" spans="1:8">
      <c r="A305" s="65"/>
      <c r="B305" s="66"/>
      <c r="C305" s="54"/>
      <c r="D305" s="54"/>
      <c r="E305" s="54"/>
      <c r="F305" s="54"/>
      <c r="G305" s="54"/>
      <c r="H305" s="54"/>
    </row>
    <row r="306" spans="1:8">
      <c r="A306" s="65"/>
      <c r="B306" s="66"/>
      <c r="C306" s="54"/>
      <c r="D306" s="54"/>
      <c r="E306" s="54"/>
      <c r="F306" s="54"/>
      <c r="G306" s="54"/>
      <c r="H306" s="54"/>
    </row>
    <row r="307" spans="1:8">
      <c r="A307" s="65"/>
      <c r="B307" s="66"/>
      <c r="C307" s="54"/>
      <c r="D307" s="54"/>
      <c r="E307" s="54"/>
      <c r="F307" s="54"/>
      <c r="G307" s="54"/>
      <c r="H307" s="54"/>
    </row>
    <row r="308" spans="1:8">
      <c r="A308" s="65"/>
      <c r="B308" s="66"/>
      <c r="C308" s="54"/>
      <c r="D308" s="54"/>
      <c r="E308" s="54"/>
      <c r="F308" s="54"/>
      <c r="G308" s="54"/>
      <c r="H308" s="54"/>
    </row>
    <row r="309" spans="1:8">
      <c r="A309" s="65"/>
      <c r="B309" s="66"/>
      <c r="C309" s="54"/>
      <c r="D309" s="54"/>
      <c r="E309" s="54"/>
      <c r="F309" s="54"/>
      <c r="G309" s="54"/>
      <c r="H309" s="54"/>
    </row>
    <row r="310" spans="1:8">
      <c r="A310" s="65"/>
      <c r="B310" s="66"/>
      <c r="C310" s="54"/>
      <c r="D310" s="54"/>
      <c r="E310" s="54"/>
      <c r="F310" s="54"/>
      <c r="G310" s="54"/>
      <c r="H310" s="54"/>
    </row>
    <row r="311" spans="1:8">
      <c r="A311" s="65"/>
      <c r="B311" s="66"/>
      <c r="C311" s="54"/>
      <c r="D311" s="54"/>
      <c r="E311" s="54"/>
      <c r="F311" s="54"/>
      <c r="G311" s="54"/>
      <c r="H311" s="54"/>
    </row>
    <row r="312" spans="1:8">
      <c r="A312" s="65"/>
      <c r="B312" s="66"/>
      <c r="C312" s="54"/>
      <c r="D312" s="54"/>
      <c r="E312" s="54"/>
      <c r="F312" s="54"/>
      <c r="G312" s="54"/>
      <c r="H312" s="54"/>
    </row>
    <row r="313" spans="1:8">
      <c r="A313" s="65"/>
      <c r="B313" s="66"/>
      <c r="C313" s="54"/>
      <c r="D313" s="54"/>
      <c r="E313" s="54"/>
      <c r="F313" s="54"/>
      <c r="G313" s="54"/>
      <c r="H313" s="54"/>
    </row>
    <row r="314" spans="1:8">
      <c r="A314" s="65"/>
      <c r="B314" s="66"/>
      <c r="C314" s="54"/>
      <c r="D314" s="54"/>
      <c r="E314" s="54"/>
      <c r="F314" s="54"/>
      <c r="G314" s="54"/>
      <c r="H314" s="54"/>
    </row>
    <row r="315" spans="1:8">
      <c r="A315" s="65"/>
      <c r="B315" s="66"/>
      <c r="C315" s="54"/>
      <c r="D315" s="54"/>
      <c r="E315" s="54"/>
      <c r="F315" s="54"/>
      <c r="G315" s="54"/>
      <c r="H315" s="54"/>
    </row>
    <row r="316" spans="1:8">
      <c r="A316" s="65"/>
      <c r="B316" s="66"/>
      <c r="C316" s="54"/>
      <c r="D316" s="54"/>
      <c r="E316" s="54"/>
      <c r="F316" s="54"/>
      <c r="G316" s="54"/>
      <c r="H316" s="54"/>
    </row>
    <row r="317" spans="1:8">
      <c r="A317" s="65"/>
      <c r="B317" s="66"/>
      <c r="C317" s="54"/>
      <c r="D317" s="54"/>
      <c r="E317" s="54"/>
      <c r="F317" s="54"/>
      <c r="G317" s="54"/>
      <c r="H317" s="54"/>
    </row>
    <row r="318" spans="1:8">
      <c r="A318" s="65"/>
      <c r="B318" s="66"/>
      <c r="C318" s="54"/>
      <c r="D318" s="54"/>
      <c r="E318" s="54"/>
      <c r="F318" s="54"/>
      <c r="G318" s="54"/>
      <c r="H318" s="54"/>
    </row>
    <row r="319" spans="1:8">
      <c r="A319" s="65"/>
      <c r="B319" s="66"/>
      <c r="C319" s="54"/>
      <c r="D319" s="54"/>
      <c r="E319" s="54"/>
      <c r="F319" s="54"/>
      <c r="G319" s="54"/>
      <c r="H319" s="54"/>
    </row>
    <row r="320" spans="1:8">
      <c r="A320" s="65"/>
      <c r="B320" s="66"/>
      <c r="C320" s="54"/>
      <c r="D320" s="54"/>
      <c r="E320" s="54"/>
      <c r="F320" s="54"/>
      <c r="G320" s="54"/>
      <c r="H320" s="54"/>
    </row>
    <row r="321" spans="1:8">
      <c r="A321" s="65"/>
      <c r="B321" s="66"/>
      <c r="C321" s="54"/>
      <c r="D321" s="54"/>
      <c r="E321" s="54"/>
      <c r="F321" s="54"/>
      <c r="G321" s="54"/>
      <c r="H321" s="54"/>
    </row>
    <row r="322" spans="1:8">
      <c r="A322" s="65"/>
      <c r="B322" s="66"/>
      <c r="C322" s="54"/>
      <c r="D322" s="54"/>
      <c r="E322" s="54"/>
      <c r="F322" s="54"/>
      <c r="G322" s="54"/>
      <c r="H322" s="54"/>
    </row>
    <row r="323" spans="1:8">
      <c r="A323" s="65"/>
      <c r="B323" s="66"/>
      <c r="C323" s="54"/>
      <c r="D323" s="54"/>
      <c r="E323" s="54"/>
      <c r="F323" s="54"/>
      <c r="G323" s="54"/>
      <c r="H323" s="54"/>
    </row>
    <row r="324" spans="1:8">
      <c r="A324" s="65"/>
      <c r="B324" s="66"/>
      <c r="C324" s="54"/>
      <c r="D324" s="54"/>
      <c r="E324" s="54"/>
      <c r="F324" s="54"/>
      <c r="G324" s="54"/>
      <c r="H324" s="54"/>
    </row>
    <row r="325" spans="1:8">
      <c r="A325" s="65"/>
      <c r="B325" s="66"/>
      <c r="C325" s="54"/>
      <c r="D325" s="54"/>
      <c r="E325" s="54"/>
      <c r="F325" s="54"/>
      <c r="G325" s="54"/>
      <c r="H325" s="54"/>
    </row>
    <row r="326" spans="1:8">
      <c r="A326" s="65"/>
      <c r="B326" s="66"/>
      <c r="C326" s="54"/>
      <c r="D326" s="54"/>
      <c r="E326" s="54"/>
      <c r="F326" s="54"/>
      <c r="G326" s="54"/>
      <c r="H326" s="54"/>
    </row>
    <row r="327" spans="1:8">
      <c r="A327" s="65"/>
      <c r="B327" s="66"/>
      <c r="C327" s="54"/>
      <c r="D327" s="54"/>
      <c r="E327" s="54"/>
      <c r="F327" s="54"/>
      <c r="G327" s="54"/>
      <c r="H327" s="54"/>
    </row>
    <row r="328" spans="1:8">
      <c r="A328" s="65"/>
      <c r="B328" s="66"/>
      <c r="C328" s="54"/>
      <c r="D328" s="54"/>
      <c r="E328" s="54"/>
      <c r="F328" s="54"/>
      <c r="G328" s="54"/>
      <c r="H328" s="54"/>
    </row>
    <row r="329" spans="1:8">
      <c r="A329" s="65"/>
      <c r="B329" s="66"/>
      <c r="C329" s="54"/>
      <c r="D329" s="54"/>
      <c r="E329" s="54"/>
      <c r="F329" s="54"/>
      <c r="G329" s="54"/>
      <c r="H329" s="54"/>
    </row>
    <row r="330" spans="1:8">
      <c r="A330" s="65"/>
      <c r="B330" s="66"/>
      <c r="C330" s="54"/>
      <c r="D330" s="54"/>
      <c r="E330" s="54"/>
      <c r="F330" s="54"/>
      <c r="G330" s="54"/>
      <c r="H330" s="54"/>
    </row>
    <row r="331" spans="1:8">
      <c r="A331" s="65"/>
      <c r="B331" s="66"/>
      <c r="C331" s="54"/>
      <c r="D331" s="54"/>
      <c r="E331" s="54"/>
      <c r="F331" s="54"/>
      <c r="G331" s="54"/>
      <c r="H331" s="54"/>
    </row>
    <row r="332" spans="1:8">
      <c r="A332" s="65"/>
      <c r="B332" s="66"/>
      <c r="C332" s="54"/>
      <c r="D332" s="54"/>
      <c r="E332" s="54"/>
      <c r="F332" s="54"/>
      <c r="G332" s="54"/>
      <c r="H332" s="54"/>
    </row>
    <row r="333" spans="1:8">
      <c r="A333" s="65"/>
      <c r="B333" s="66"/>
      <c r="C333" s="54"/>
      <c r="D333" s="54"/>
      <c r="E333" s="54"/>
      <c r="F333" s="54"/>
      <c r="G333" s="54"/>
      <c r="H333" s="54"/>
    </row>
    <row r="334" spans="1:8">
      <c r="A334" s="65"/>
      <c r="B334" s="66"/>
      <c r="C334" s="54"/>
      <c r="D334" s="54"/>
      <c r="E334" s="54"/>
      <c r="F334" s="54"/>
      <c r="G334" s="54"/>
      <c r="H334" s="54"/>
    </row>
    <row r="335" spans="1:8">
      <c r="A335" s="65"/>
      <c r="B335" s="66"/>
      <c r="C335" s="54"/>
      <c r="D335" s="54"/>
      <c r="E335" s="54"/>
      <c r="F335" s="54"/>
      <c r="G335" s="54"/>
      <c r="H335" s="54"/>
    </row>
    <row r="336" spans="1:8">
      <c r="A336" s="65"/>
      <c r="B336" s="66"/>
      <c r="C336" s="54"/>
      <c r="D336" s="54"/>
      <c r="E336" s="54"/>
      <c r="F336" s="54"/>
      <c r="G336" s="54"/>
      <c r="H336" s="54"/>
    </row>
    <row r="337" spans="1:8">
      <c r="A337" s="65"/>
      <c r="B337" s="66"/>
      <c r="C337" s="54"/>
      <c r="D337" s="54"/>
      <c r="E337" s="54"/>
      <c r="F337" s="54"/>
      <c r="G337" s="54"/>
      <c r="H337" s="54"/>
    </row>
    <row r="338" spans="1:8">
      <c r="A338" s="65"/>
      <c r="B338" s="66"/>
      <c r="C338" s="54"/>
      <c r="D338" s="54"/>
      <c r="E338" s="54"/>
      <c r="F338" s="54"/>
      <c r="G338" s="54"/>
      <c r="H338" s="54"/>
    </row>
    <row r="339" spans="1:8">
      <c r="A339" s="65"/>
      <c r="B339" s="66"/>
      <c r="C339" s="54"/>
      <c r="D339" s="54"/>
      <c r="E339" s="54"/>
      <c r="F339" s="54"/>
      <c r="G339" s="54"/>
      <c r="H339" s="54"/>
    </row>
    <row r="340" spans="1:8">
      <c r="A340" s="65"/>
      <c r="B340" s="66"/>
      <c r="C340" s="54"/>
      <c r="D340" s="54"/>
      <c r="E340" s="54"/>
      <c r="F340" s="54"/>
      <c r="G340" s="54"/>
      <c r="H340" s="54"/>
    </row>
    <row r="341" spans="1:8">
      <c r="A341" s="65"/>
      <c r="B341" s="66"/>
      <c r="C341" s="54"/>
      <c r="D341" s="54"/>
      <c r="E341" s="54"/>
      <c r="F341" s="54"/>
      <c r="G341" s="54"/>
      <c r="H341" s="54"/>
    </row>
    <row r="342" spans="1:8">
      <c r="A342" s="65"/>
      <c r="B342" s="66"/>
      <c r="C342" s="54"/>
      <c r="D342" s="54"/>
      <c r="E342" s="54"/>
      <c r="F342" s="54"/>
      <c r="G342" s="54"/>
      <c r="H342" s="54"/>
    </row>
    <row r="343" spans="1:8">
      <c r="A343" s="65"/>
      <c r="B343" s="66"/>
      <c r="C343" s="54"/>
      <c r="D343" s="54"/>
      <c r="E343" s="54"/>
      <c r="F343" s="54"/>
      <c r="G343" s="54"/>
      <c r="H343" s="54"/>
    </row>
    <row r="344" spans="1:8">
      <c r="A344" s="65"/>
      <c r="B344" s="66"/>
      <c r="C344" s="54"/>
      <c r="D344" s="54"/>
      <c r="E344" s="54"/>
      <c r="F344" s="54"/>
      <c r="G344" s="54"/>
      <c r="H344" s="54"/>
    </row>
    <row r="345" spans="1:8">
      <c r="A345" s="65"/>
      <c r="B345" s="66"/>
      <c r="C345" s="54"/>
      <c r="D345" s="54"/>
      <c r="E345" s="54"/>
      <c r="F345" s="54"/>
      <c r="G345" s="54"/>
      <c r="H345" s="54"/>
    </row>
    <row r="346" spans="1:8">
      <c r="A346" s="65"/>
      <c r="B346" s="66"/>
      <c r="C346" s="54"/>
      <c r="D346" s="54"/>
      <c r="E346" s="54"/>
      <c r="F346" s="54"/>
      <c r="G346" s="54"/>
      <c r="H346" s="54"/>
    </row>
    <row r="347" spans="1:8">
      <c r="A347" s="65"/>
      <c r="B347" s="66"/>
      <c r="C347" s="54"/>
      <c r="D347" s="54"/>
      <c r="E347" s="54"/>
      <c r="F347" s="54"/>
      <c r="G347" s="54"/>
      <c r="H347" s="54"/>
    </row>
    <row r="348" spans="1:8">
      <c r="A348" s="65"/>
      <c r="B348" s="66"/>
      <c r="C348" s="54"/>
      <c r="D348" s="54"/>
      <c r="E348" s="54"/>
      <c r="F348" s="54"/>
      <c r="G348" s="54"/>
      <c r="H348" s="54"/>
    </row>
    <row r="349" spans="1:8">
      <c r="A349" s="65"/>
      <c r="B349" s="66"/>
      <c r="C349" s="54"/>
      <c r="D349" s="54"/>
      <c r="E349" s="54"/>
      <c r="F349" s="54"/>
      <c r="G349" s="54"/>
      <c r="H349" s="54"/>
    </row>
    <row r="350" spans="1:8">
      <c r="A350" s="65"/>
      <c r="B350" s="66"/>
      <c r="C350" s="54"/>
      <c r="D350" s="54"/>
      <c r="E350" s="54"/>
      <c r="F350" s="54"/>
      <c r="G350" s="54"/>
      <c r="H350" s="54"/>
    </row>
    <row r="351" spans="1:8">
      <c r="A351" s="65"/>
      <c r="B351" s="66"/>
      <c r="C351" s="54"/>
      <c r="D351" s="54"/>
      <c r="E351" s="54"/>
      <c r="F351" s="54"/>
      <c r="G351" s="54"/>
      <c r="H351" s="54"/>
    </row>
    <row r="352" spans="1:8">
      <c r="A352" s="65"/>
      <c r="B352" s="66"/>
      <c r="C352" s="54"/>
      <c r="D352" s="54"/>
      <c r="E352" s="54"/>
      <c r="F352" s="54"/>
      <c r="G352" s="54"/>
      <c r="H352" s="54"/>
    </row>
    <row r="353" spans="1:8">
      <c r="A353" s="65"/>
      <c r="B353" s="66"/>
      <c r="C353" s="54"/>
      <c r="D353" s="54"/>
      <c r="E353" s="54"/>
      <c r="F353" s="54"/>
      <c r="G353" s="54"/>
      <c r="H353" s="54"/>
    </row>
    <row r="354" spans="1:8">
      <c r="A354" s="65"/>
      <c r="B354" s="66"/>
      <c r="C354" s="54"/>
      <c r="D354" s="54"/>
      <c r="E354" s="54"/>
      <c r="F354" s="54"/>
      <c r="G354" s="54"/>
      <c r="H354" s="54"/>
    </row>
    <row r="355" spans="1:8">
      <c r="A355" s="65"/>
      <c r="B355" s="66"/>
      <c r="C355" s="54"/>
      <c r="D355" s="54"/>
      <c r="E355" s="54"/>
      <c r="F355" s="54"/>
      <c r="G355" s="54"/>
      <c r="H355" s="54"/>
    </row>
    <row r="356" spans="1:8">
      <c r="A356" s="65"/>
      <c r="B356" s="66"/>
      <c r="C356" s="54"/>
      <c r="D356" s="54"/>
      <c r="E356" s="54"/>
      <c r="F356" s="54"/>
      <c r="G356" s="54"/>
      <c r="H356" s="54"/>
    </row>
    <row r="357" spans="1:8">
      <c r="A357" s="65"/>
      <c r="B357" s="66"/>
      <c r="C357" s="54"/>
      <c r="D357" s="54"/>
      <c r="E357" s="54"/>
      <c r="F357" s="54"/>
      <c r="G357" s="54"/>
      <c r="H357" s="54"/>
    </row>
    <row r="358" spans="1:8">
      <c r="A358" s="65"/>
      <c r="B358" s="66"/>
      <c r="C358" s="54"/>
      <c r="D358" s="54"/>
      <c r="E358" s="54"/>
      <c r="F358" s="54"/>
      <c r="G358" s="54"/>
      <c r="H358" s="54"/>
    </row>
    <row r="359" spans="1:8">
      <c r="A359" s="65"/>
      <c r="B359" s="66"/>
      <c r="C359" s="54"/>
      <c r="D359" s="54"/>
      <c r="E359" s="54"/>
      <c r="F359" s="54"/>
      <c r="G359" s="54"/>
      <c r="H359" s="54"/>
    </row>
    <row r="360" spans="1:8">
      <c r="A360" s="65"/>
      <c r="B360" s="66"/>
      <c r="C360" s="54"/>
      <c r="D360" s="54"/>
      <c r="E360" s="54"/>
      <c r="F360" s="54"/>
      <c r="G360" s="54"/>
      <c r="H360" s="54"/>
    </row>
    <row r="361" spans="1:8">
      <c r="A361" s="65"/>
      <c r="B361" s="66"/>
      <c r="C361" s="54"/>
      <c r="D361" s="54"/>
      <c r="E361" s="54"/>
      <c r="F361" s="54"/>
      <c r="G361" s="54"/>
      <c r="H361" s="54"/>
    </row>
    <row r="362" spans="1:8">
      <c r="A362" s="65"/>
      <c r="B362" s="66"/>
      <c r="C362" s="54"/>
      <c r="D362" s="54"/>
      <c r="E362" s="54"/>
      <c r="F362" s="54"/>
      <c r="G362" s="54"/>
      <c r="H362" s="54"/>
    </row>
    <row r="363" spans="1:8">
      <c r="A363" s="65"/>
      <c r="B363" s="66"/>
      <c r="C363" s="54"/>
      <c r="D363" s="54"/>
      <c r="E363" s="54"/>
      <c r="F363" s="54"/>
      <c r="G363" s="54"/>
      <c r="H363" s="54"/>
    </row>
    <row r="364" spans="1:8">
      <c r="A364" s="65"/>
      <c r="B364" s="66"/>
      <c r="C364" s="54"/>
      <c r="D364" s="54"/>
      <c r="E364" s="54"/>
      <c r="F364" s="54"/>
      <c r="G364" s="54"/>
      <c r="H364" s="54"/>
    </row>
    <row r="365" spans="1:8">
      <c r="A365" s="65"/>
      <c r="B365" s="66"/>
      <c r="C365" s="54"/>
      <c r="D365" s="54"/>
      <c r="E365" s="54"/>
      <c r="F365" s="54"/>
      <c r="G365" s="54"/>
      <c r="H365" s="54"/>
    </row>
    <row r="366" spans="1:8">
      <c r="A366" s="65"/>
      <c r="B366" s="66"/>
      <c r="C366" s="54"/>
      <c r="D366" s="54"/>
      <c r="E366" s="54"/>
      <c r="F366" s="54"/>
      <c r="G366" s="54"/>
      <c r="H366" s="54"/>
    </row>
    <row r="367" spans="1:8">
      <c r="A367" s="65"/>
      <c r="B367" s="66"/>
      <c r="C367" s="54"/>
      <c r="D367" s="54"/>
      <c r="E367" s="54"/>
      <c r="F367" s="54"/>
      <c r="G367" s="54"/>
      <c r="H367" s="54"/>
    </row>
    <row r="368" spans="1:8">
      <c r="A368" s="65"/>
      <c r="B368" s="66"/>
      <c r="C368" s="54"/>
      <c r="D368" s="54"/>
      <c r="E368" s="54"/>
      <c r="F368" s="54"/>
      <c r="G368" s="54"/>
      <c r="H368" s="54"/>
    </row>
    <row r="369" spans="1:8">
      <c r="A369" s="65"/>
      <c r="B369" s="66"/>
      <c r="C369" s="54"/>
      <c r="D369" s="54"/>
      <c r="E369" s="54"/>
      <c r="F369" s="54"/>
      <c r="G369" s="54"/>
      <c r="H369" s="54"/>
    </row>
    <row r="370" spans="1:8">
      <c r="A370" s="65"/>
      <c r="B370" s="66"/>
      <c r="C370" s="54"/>
      <c r="D370" s="54"/>
      <c r="E370" s="54"/>
      <c r="F370" s="54"/>
      <c r="G370" s="54"/>
      <c r="H370" s="54"/>
    </row>
    <row r="371" spans="1:8">
      <c r="A371" s="65"/>
      <c r="B371" s="66"/>
      <c r="C371" s="54"/>
      <c r="D371" s="54"/>
      <c r="E371" s="54"/>
      <c r="F371" s="54"/>
      <c r="G371" s="54"/>
      <c r="H371" s="54"/>
    </row>
    <row r="372" spans="1:8">
      <c r="A372" s="65"/>
      <c r="B372" s="66"/>
      <c r="C372" s="54"/>
      <c r="D372" s="54"/>
      <c r="E372" s="54"/>
      <c r="F372" s="54"/>
      <c r="G372" s="54"/>
      <c r="H372" s="54"/>
    </row>
    <row r="373" spans="1:8">
      <c r="A373" s="65"/>
      <c r="B373" s="66"/>
      <c r="C373" s="54"/>
      <c r="D373" s="54"/>
      <c r="E373" s="54"/>
      <c r="F373" s="54"/>
      <c r="G373" s="54"/>
      <c r="H373" s="54"/>
    </row>
    <row r="374" spans="1:8">
      <c r="A374" s="65"/>
      <c r="B374" s="66"/>
      <c r="C374" s="54"/>
      <c r="D374" s="54"/>
      <c r="E374" s="54"/>
      <c r="F374" s="54"/>
      <c r="G374" s="54"/>
      <c r="H374" s="54"/>
    </row>
    <row r="375" spans="1:8">
      <c r="A375" s="65"/>
      <c r="B375" s="66"/>
      <c r="C375" s="54"/>
      <c r="D375" s="54"/>
      <c r="E375" s="54"/>
      <c r="F375" s="54"/>
      <c r="G375" s="54"/>
      <c r="H375" s="54"/>
    </row>
    <row r="376" spans="1:8">
      <c r="A376" s="65"/>
      <c r="B376" s="66"/>
      <c r="C376" s="54"/>
      <c r="D376" s="54"/>
      <c r="E376" s="54"/>
      <c r="F376" s="54"/>
      <c r="G376" s="54"/>
      <c r="H376" s="54"/>
    </row>
    <row r="377" spans="1:8">
      <c r="A377" s="65"/>
      <c r="B377" s="66"/>
      <c r="C377" s="54"/>
      <c r="D377" s="54"/>
      <c r="E377" s="54"/>
      <c r="F377" s="54"/>
      <c r="G377" s="54"/>
      <c r="H377" s="54"/>
    </row>
    <row r="378" spans="1:8">
      <c r="A378" s="65"/>
      <c r="B378" s="66"/>
      <c r="C378" s="54"/>
      <c r="D378" s="54"/>
      <c r="E378" s="54"/>
      <c r="F378" s="54"/>
      <c r="G378" s="54"/>
      <c r="H378" s="54"/>
    </row>
    <row r="379" spans="1:8">
      <c r="A379" s="65"/>
      <c r="B379" s="66"/>
      <c r="C379" s="54"/>
      <c r="D379" s="54"/>
      <c r="E379" s="54"/>
      <c r="F379" s="54"/>
      <c r="G379" s="54"/>
      <c r="H379" s="54"/>
    </row>
    <row r="380" spans="1:8">
      <c r="A380" s="65"/>
      <c r="B380" s="66"/>
      <c r="C380" s="54"/>
      <c r="D380" s="54"/>
      <c r="E380" s="54"/>
      <c r="F380" s="54"/>
      <c r="G380" s="54"/>
      <c r="H380" s="54"/>
    </row>
    <row r="381" spans="1:8">
      <c r="A381" s="65"/>
      <c r="B381" s="66"/>
      <c r="C381" s="54"/>
      <c r="D381" s="54"/>
      <c r="E381" s="54"/>
      <c r="F381" s="54"/>
      <c r="G381" s="54"/>
      <c r="H381" s="54"/>
    </row>
    <row r="382" spans="1:8">
      <c r="A382" s="65"/>
      <c r="B382" s="66"/>
      <c r="C382" s="54"/>
      <c r="D382" s="54"/>
      <c r="E382" s="54"/>
      <c r="F382" s="54"/>
      <c r="G382" s="54"/>
      <c r="H382" s="54"/>
    </row>
    <row r="383" spans="1:8">
      <c r="A383" s="65"/>
      <c r="B383" s="66"/>
      <c r="C383" s="54"/>
      <c r="D383" s="54"/>
      <c r="E383" s="54"/>
      <c r="F383" s="54"/>
      <c r="G383" s="54"/>
      <c r="H383" s="54"/>
    </row>
    <row r="384" spans="1:8">
      <c r="A384" s="65"/>
      <c r="B384" s="66"/>
      <c r="C384" s="54"/>
      <c r="D384" s="54"/>
      <c r="E384" s="54"/>
      <c r="F384" s="54"/>
      <c r="G384" s="54"/>
      <c r="H384" s="54"/>
    </row>
    <row r="385" spans="1:8">
      <c r="A385" s="65"/>
      <c r="B385" s="66"/>
      <c r="C385" s="54"/>
      <c r="D385" s="54"/>
      <c r="E385" s="54"/>
      <c r="F385" s="54"/>
      <c r="G385" s="54"/>
      <c r="H385" s="54"/>
    </row>
    <row r="386" spans="1:8">
      <c r="A386" s="65"/>
      <c r="B386" s="66"/>
      <c r="C386" s="54"/>
      <c r="D386" s="54"/>
      <c r="E386" s="54"/>
      <c r="F386" s="54"/>
      <c r="G386" s="54"/>
      <c r="H386" s="54"/>
    </row>
    <row r="387" spans="1:8">
      <c r="A387" s="65"/>
      <c r="B387" s="66"/>
      <c r="C387" s="54"/>
      <c r="D387" s="54"/>
      <c r="E387" s="54"/>
      <c r="F387" s="54"/>
      <c r="G387" s="54"/>
      <c r="H387" s="54"/>
    </row>
    <row r="388" spans="1:8">
      <c r="A388" s="65"/>
      <c r="B388" s="66"/>
      <c r="C388" s="54"/>
      <c r="D388" s="54"/>
      <c r="E388" s="54"/>
      <c r="F388" s="54"/>
      <c r="G388" s="54"/>
      <c r="H388" s="54"/>
    </row>
    <row r="389" spans="1:8">
      <c r="A389" s="65"/>
      <c r="B389" s="66"/>
      <c r="C389" s="54"/>
      <c r="D389" s="54"/>
      <c r="E389" s="54"/>
      <c r="F389" s="54"/>
      <c r="G389" s="54"/>
      <c r="H389" s="54"/>
    </row>
  </sheetData>
  <mergeCells count="135">
    <mergeCell ref="A176:A177"/>
    <mergeCell ref="A183:A184"/>
    <mergeCell ref="A213:A215"/>
    <mergeCell ref="A234:A235"/>
    <mergeCell ref="A256:A258"/>
    <mergeCell ref="A283:A285"/>
    <mergeCell ref="A82:A83"/>
    <mergeCell ref="A229:A231"/>
    <mergeCell ref="C53:C54"/>
    <mergeCell ref="C162:C164"/>
    <mergeCell ref="C174:C175"/>
    <mergeCell ref="C209:C210"/>
    <mergeCell ref="C188:C189"/>
    <mergeCell ref="A162:A164"/>
    <mergeCell ref="B162:B164"/>
    <mergeCell ref="B174:B175"/>
    <mergeCell ref="A174:A175"/>
    <mergeCell ref="B188:B189"/>
    <mergeCell ref="B209:B210"/>
    <mergeCell ref="A209:A210"/>
    <mergeCell ref="A145:A147"/>
    <mergeCell ref="A138:A139"/>
    <mergeCell ref="A140:A141"/>
    <mergeCell ref="A142:A143"/>
    <mergeCell ref="B49:B51"/>
    <mergeCell ref="A49:A51"/>
    <mergeCell ref="B53:B54"/>
    <mergeCell ref="A53:A54"/>
    <mergeCell ref="B82:B83"/>
    <mergeCell ref="C82:C83"/>
    <mergeCell ref="B73:B74"/>
    <mergeCell ref="C73:C74"/>
    <mergeCell ref="A73:A74"/>
    <mergeCell ref="F125:F127"/>
    <mergeCell ref="G125:G127"/>
    <mergeCell ref="H125:H127"/>
    <mergeCell ref="E130:E132"/>
    <mergeCell ref="F130:F132"/>
    <mergeCell ref="G130:G132"/>
    <mergeCell ref="H130:H132"/>
    <mergeCell ref="A91:A94"/>
    <mergeCell ref="A97:A98"/>
    <mergeCell ref="A99:A100"/>
    <mergeCell ref="A117:A119"/>
    <mergeCell ref="A130:A132"/>
    <mergeCell ref="A125:A127"/>
    <mergeCell ref="F145:F147"/>
    <mergeCell ref="G145:G147"/>
    <mergeCell ref="B138:B139"/>
    <mergeCell ref="C138:C139"/>
    <mergeCell ref="B140:B141"/>
    <mergeCell ref="C140:C141"/>
    <mergeCell ref="B142:B143"/>
    <mergeCell ref="C142:C143"/>
    <mergeCell ref="H145:H147"/>
    <mergeCell ref="B31:B32"/>
    <mergeCell ref="C31:C32"/>
    <mergeCell ref="A31:A32"/>
    <mergeCell ref="B46:B48"/>
    <mergeCell ref="C46:C48"/>
    <mergeCell ref="A46:A48"/>
    <mergeCell ref="A11:H11"/>
    <mergeCell ref="G12:H12"/>
    <mergeCell ref="A26:A28"/>
    <mergeCell ref="B26:B28"/>
    <mergeCell ref="C26:C28"/>
    <mergeCell ref="E82:E83"/>
    <mergeCell ref="C145:C147"/>
    <mergeCell ref="C91:C94"/>
    <mergeCell ref="B97:B98"/>
    <mergeCell ref="C97:C98"/>
    <mergeCell ref="B99:B100"/>
    <mergeCell ref="C99:C100"/>
    <mergeCell ref="C117:C119"/>
    <mergeCell ref="B130:B132"/>
    <mergeCell ref="C130:C132"/>
    <mergeCell ref="B117:B119"/>
    <mergeCell ref="B91:B94"/>
    <mergeCell ref="B145:B147"/>
    <mergeCell ref="D125:D127"/>
    <mergeCell ref="D145:D147"/>
    <mergeCell ref="B125:B127"/>
    <mergeCell ref="C125:C127"/>
    <mergeCell ref="D130:D132"/>
    <mergeCell ref="E145:E147"/>
    <mergeCell ref="E125:E127"/>
    <mergeCell ref="A271:A272"/>
    <mergeCell ref="B222:B224"/>
    <mergeCell ref="A222:A224"/>
    <mergeCell ref="C222:C224"/>
    <mergeCell ref="C243:C244"/>
    <mergeCell ref="B243:B244"/>
    <mergeCell ref="B266:B268"/>
    <mergeCell ref="C266:C268"/>
    <mergeCell ref="B260:B262"/>
    <mergeCell ref="C260:C262"/>
    <mergeCell ref="B250:B251"/>
    <mergeCell ref="A266:A268"/>
    <mergeCell ref="B271:B272"/>
    <mergeCell ref="A241:A242"/>
    <mergeCell ref="A243:A244"/>
    <mergeCell ref="A260:A262"/>
    <mergeCell ref="A250:A251"/>
    <mergeCell ref="F188:F189"/>
    <mergeCell ref="G188:G189"/>
    <mergeCell ref="H188:H189"/>
    <mergeCell ref="D188:D189"/>
    <mergeCell ref="E188:E189"/>
    <mergeCell ref="B192:B193"/>
    <mergeCell ref="A188:A189"/>
    <mergeCell ref="B247:B248"/>
    <mergeCell ref="C247:C248"/>
    <mergeCell ref="E247:E248"/>
    <mergeCell ref="A247:A248"/>
    <mergeCell ref="C229:C231"/>
    <mergeCell ref="B229:B231"/>
    <mergeCell ref="B241:B242"/>
    <mergeCell ref="C241:C242"/>
    <mergeCell ref="B213:B215"/>
    <mergeCell ref="C213:C215"/>
    <mergeCell ref="A192:A193"/>
    <mergeCell ref="B283:B285"/>
    <mergeCell ref="C283:C285"/>
    <mergeCell ref="E283:E285"/>
    <mergeCell ref="B256:B258"/>
    <mergeCell ref="C256:C258"/>
    <mergeCell ref="B183:B184"/>
    <mergeCell ref="C183:C184"/>
    <mergeCell ref="B176:B177"/>
    <mergeCell ref="C176:C177"/>
    <mergeCell ref="E176:E177"/>
    <mergeCell ref="B234:B235"/>
    <mergeCell ref="C234:C235"/>
    <mergeCell ref="D234:D235"/>
    <mergeCell ref="C271:C272"/>
  </mergeCells>
  <printOptions horizontalCentered="1"/>
  <pageMargins left="0.35433070866141736" right="0.39370078740157483" top="0.34" bottom="0.19685039370078741" header="0.15748031496062992" footer="0.19685039370078741"/>
  <pageSetup paperSize="9" scale="84" fitToHeight="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приложение 5</vt:lpstr>
      <vt:lpstr>приложение 6</vt:lpstr>
      <vt:lpstr>приложение 7</vt:lpstr>
      <vt:lpstr>'приложение 5'!Заголовки_для_печати</vt:lpstr>
      <vt:lpstr>'приложение 6'!Заголовки_для_печати</vt:lpstr>
      <vt:lpstr>'приложение 7'!Заголовки_для_печати</vt:lpstr>
      <vt:lpstr>'приложение 5'!Область_печати</vt:lpstr>
      <vt:lpstr>'приложение 6'!Область_печати</vt:lpstr>
      <vt:lpstr>'приложение 7'!Область_печати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2020-08-26T08:15:04Z</dcterms:modified>
</cp:coreProperties>
</file>