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540" windowWidth="19440" windowHeight="7515" activeTab="2"/>
  </bookViews>
  <sheets>
    <sheet name="приложение 3" sheetId="3" r:id="rId1"/>
    <sheet name="приложение 4" sheetId="1" r:id="rId2"/>
    <sheet name="приложение 5" sheetId="2" r:id="rId3"/>
  </sheets>
  <definedNames>
    <definedName name="_xlnm._FilterDatabase" localSheetId="1" hidden="1">'приложение 4'!$A$12:$AD$661</definedName>
    <definedName name="_xlnm._FilterDatabase" localSheetId="2" hidden="1">'приложение 5'!$A$10:$I$246</definedName>
    <definedName name="_xlnm.Print_Titles" localSheetId="0">'приложение 3'!$9:$10</definedName>
    <definedName name="_xlnm.Print_Titles" localSheetId="1">'приложение 4'!$11:$12</definedName>
    <definedName name="_xlnm.Print_Titles" localSheetId="2">'приложение 5'!$9:$10</definedName>
    <definedName name="_xlnm.Print_Area" localSheetId="0">'приложение 3'!$A$1:$G$60</definedName>
    <definedName name="_xlnm.Print_Area" localSheetId="1">'приложение 4'!$A$1:$J$687</definedName>
    <definedName name="_xlnm.Print_Area" localSheetId="2">'приложение 5'!$A$1:$I$246</definedName>
  </definedNames>
  <calcPr calcId="125725"/>
</workbook>
</file>

<file path=xl/calcChain.xml><?xml version="1.0" encoding="utf-8"?>
<calcChain xmlns="http://schemas.openxmlformats.org/spreadsheetml/2006/main">
  <c r="G12" i="3"/>
  <c r="G13"/>
  <c r="G14"/>
  <c r="G15"/>
  <c r="G16"/>
  <c r="G17"/>
  <c r="G18"/>
  <c r="G19"/>
  <c r="G20"/>
  <c r="G21"/>
  <c r="G22"/>
  <c r="G23"/>
  <c r="G24"/>
  <c r="G25"/>
  <c r="G26"/>
  <c r="G27"/>
  <c r="G29"/>
  <c r="G30"/>
  <c r="G31"/>
  <c r="G32"/>
  <c r="G34"/>
  <c r="G35"/>
  <c r="G36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11"/>
  <c r="J15" i="1" l="1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14"/>
  <c r="J13"/>
  <c r="H145" i="2"/>
  <c r="H141"/>
  <c r="H140"/>
  <c r="H124"/>
  <c r="H123"/>
  <c r="H122"/>
  <c r="H121"/>
  <c r="H119"/>
  <c r="H115"/>
  <c r="H114"/>
  <c r="H111"/>
  <c r="H104"/>
  <c r="H105"/>
  <c r="H106"/>
  <c r="H107"/>
  <c r="H108"/>
  <c r="H100"/>
  <c r="H101"/>
  <c r="H102"/>
  <c r="H97"/>
  <c r="H94"/>
  <c r="H95"/>
  <c r="H90"/>
  <c r="H91"/>
  <c r="H92"/>
  <c r="H87"/>
  <c r="H85"/>
  <c r="H86"/>
  <c r="H79"/>
  <c r="H80"/>
  <c r="I80" s="1"/>
  <c r="H81"/>
  <c r="H82"/>
  <c r="H83"/>
  <c r="H84"/>
  <c r="H77"/>
  <c r="H73"/>
  <c r="H74"/>
  <c r="H75"/>
  <c r="H76"/>
  <c r="H72"/>
  <c r="H70"/>
  <c r="H67"/>
  <c r="H68"/>
  <c r="H69"/>
  <c r="H65"/>
  <c r="H64"/>
  <c r="H63"/>
  <c r="H62"/>
  <c r="H61"/>
  <c r="H60"/>
  <c r="H59"/>
  <c r="H58"/>
  <c r="H57"/>
  <c r="H56"/>
  <c r="H54"/>
  <c r="H55"/>
  <c r="H48"/>
  <c r="H49"/>
  <c r="H50"/>
  <c r="H51"/>
  <c r="H52"/>
  <c r="H45"/>
  <c r="H33"/>
  <c r="H34"/>
  <c r="H35"/>
  <c r="H36"/>
  <c r="H37"/>
  <c r="H38"/>
  <c r="H39"/>
  <c r="H40"/>
  <c r="H41"/>
  <c r="H42"/>
  <c r="H43"/>
  <c r="H29"/>
  <c r="H30"/>
  <c r="H31"/>
  <c r="I31" s="1"/>
  <c r="H19"/>
  <c r="H20"/>
  <c r="H21"/>
  <c r="I21" s="1"/>
  <c r="H23"/>
  <c r="H24"/>
  <c r="H25"/>
  <c r="H26"/>
  <c r="H27"/>
  <c r="H16"/>
  <c r="H13"/>
  <c r="H14"/>
  <c r="G80"/>
  <c r="G229"/>
  <c r="H229"/>
  <c r="I229" s="1"/>
  <c r="G230"/>
  <c r="H230"/>
  <c r="I230" s="1"/>
  <c r="G31"/>
  <c r="F31"/>
  <c r="C31"/>
  <c r="B31"/>
  <c r="G21"/>
  <c r="F21"/>
  <c r="C21"/>
  <c r="B21"/>
  <c r="E43" i="3"/>
  <c r="F43"/>
  <c r="E42"/>
  <c r="F42"/>
  <c r="E41"/>
  <c r="F41"/>
  <c r="E40"/>
  <c r="F40"/>
  <c r="E39"/>
  <c r="F39"/>
  <c r="H28" i="2" l="1"/>
  <c r="H22"/>
  <c r="H527" i="1"/>
  <c r="I527"/>
  <c r="G527"/>
  <c r="H572"/>
  <c r="H571" s="1"/>
  <c r="I572"/>
  <c r="I571" s="1"/>
  <c r="G572"/>
  <c r="G571" s="1"/>
  <c r="H562"/>
  <c r="H561" s="1"/>
  <c r="I562"/>
  <c r="I561" s="1"/>
  <c r="G562"/>
  <c r="G561" s="1"/>
  <c r="H222" l="1"/>
  <c r="I222"/>
  <c r="H311"/>
  <c r="I311"/>
  <c r="I27"/>
  <c r="I26" s="1"/>
  <c r="I19"/>
  <c r="H70"/>
  <c r="H69" s="1"/>
  <c r="I70"/>
  <c r="I69" s="1"/>
  <c r="G475"/>
  <c r="G455"/>
  <c r="G443"/>
  <c r="G417"/>
  <c r="G431"/>
  <c r="G659" l="1"/>
  <c r="G536"/>
  <c r="G138"/>
  <c r="G131"/>
  <c r="G125"/>
  <c r="G135"/>
  <c r="G133"/>
  <c r="G28"/>
  <c r="G20"/>
  <c r="G339" l="1"/>
  <c r="G388" l="1"/>
  <c r="G392"/>
  <c r="G464" l="1"/>
  <c r="G452"/>
  <c r="G408"/>
  <c r="G646"/>
  <c r="G92"/>
  <c r="G108"/>
  <c r="G530"/>
  <c r="G557"/>
  <c r="G567"/>
  <c r="G61"/>
  <c r="G71"/>
  <c r="G180"/>
  <c r="G319"/>
  <c r="G289"/>
  <c r="G175"/>
  <c r="G218"/>
  <c r="G630"/>
  <c r="G628"/>
  <c r="G371"/>
  <c r="G354"/>
  <c r="G514" l="1"/>
  <c r="G511"/>
  <c r="G440"/>
  <c r="G375"/>
  <c r="G373"/>
  <c r="G282"/>
  <c r="G280"/>
  <c r="G156"/>
  <c r="G400" l="1"/>
  <c r="G397"/>
  <c r="G390"/>
  <c r="G22"/>
  <c r="G656" l="1"/>
  <c r="G653"/>
  <c r="G635"/>
  <c r="G560"/>
  <c r="G495" l="1"/>
  <c r="G479"/>
  <c r="G520" l="1"/>
  <c r="G414" l="1"/>
  <c r="G273"/>
  <c r="G264"/>
  <c r="G261"/>
  <c r="G144"/>
  <c r="G603" l="1"/>
  <c r="G601"/>
  <c r="G178" i="2" l="1"/>
  <c r="H178"/>
  <c r="I178" s="1"/>
  <c r="F178"/>
  <c r="C178"/>
  <c r="G132"/>
  <c r="H132"/>
  <c r="I132" s="1"/>
  <c r="F132"/>
  <c r="C132"/>
  <c r="G70" i="1"/>
  <c r="G69" s="1"/>
  <c r="G229"/>
  <c r="G482"/>
  <c r="G497"/>
  <c r="G489"/>
  <c r="G458"/>
  <c r="G449"/>
  <c r="G411"/>
  <c r="H245" l="1"/>
  <c r="H244" s="1"/>
  <c r="I245"/>
  <c r="I244" s="1"/>
  <c r="G245"/>
  <c r="G244" s="1"/>
  <c r="G243"/>
  <c r="G223" l="1"/>
  <c r="G295"/>
  <c r="G255"/>
  <c r="G253"/>
  <c r="G324"/>
  <c r="G322"/>
  <c r="B77" i="2" l="1"/>
  <c r="H488" i="1"/>
  <c r="H487" s="1"/>
  <c r="G77" i="2" s="1"/>
  <c r="I77" s="1"/>
  <c r="I488" i="1"/>
  <c r="I487" s="1"/>
  <c r="G488"/>
  <c r="G487" s="1"/>
  <c r="F77" i="2" s="1"/>
  <c r="F80"/>
  <c r="G648" i="1" l="1"/>
  <c r="G346"/>
  <c r="G341"/>
  <c r="G68"/>
  <c r="H498" l="1"/>
  <c r="I498"/>
  <c r="G498"/>
  <c r="G361"/>
  <c r="G307"/>
  <c r="G329"/>
  <c r="G312"/>
  <c r="G271"/>
  <c r="G210" l="1"/>
  <c r="G161"/>
  <c r="G163"/>
  <c r="G184"/>
  <c r="G34"/>
  <c r="H378" l="1"/>
  <c r="G378"/>
  <c r="G238"/>
  <c r="G172"/>
  <c r="G583" l="1"/>
  <c r="H570" l="1"/>
  <c r="G570"/>
  <c r="H582" l="1"/>
  <c r="H581" s="1"/>
  <c r="G43" i="2" s="1"/>
  <c r="I43" s="1"/>
  <c r="I582" i="1"/>
  <c r="I581" s="1"/>
  <c r="G582"/>
  <c r="G581" s="1"/>
  <c r="H112"/>
  <c r="H111" s="1"/>
  <c r="I112"/>
  <c r="I111" s="1"/>
  <c r="G112"/>
  <c r="G111" s="1"/>
  <c r="F43" i="2" l="1"/>
  <c r="I110" i="1"/>
  <c r="F115" i="2"/>
  <c r="G110" i="1"/>
  <c r="H110"/>
  <c r="G115" i="2"/>
  <c r="I115" s="1"/>
  <c r="G446" i="1"/>
  <c r="H445" l="1"/>
  <c r="H444" s="1"/>
  <c r="G62" i="2" s="1"/>
  <c r="I62" s="1"/>
  <c r="I445" i="1"/>
  <c r="I444" s="1"/>
  <c r="G445"/>
  <c r="G444" s="1"/>
  <c r="F62" i="2" s="1"/>
  <c r="H330" i="1" l="1"/>
  <c r="H328"/>
  <c r="I328"/>
  <c r="I330"/>
  <c r="H179"/>
  <c r="I179"/>
  <c r="H155"/>
  <c r="I155"/>
  <c r="H137"/>
  <c r="H136" s="1"/>
  <c r="I137"/>
  <c r="I136" s="1"/>
  <c r="H134"/>
  <c r="I134"/>
  <c r="H132"/>
  <c r="I132"/>
  <c r="H130"/>
  <c r="I130"/>
  <c r="H124"/>
  <c r="H123" s="1"/>
  <c r="H122" s="1"/>
  <c r="H121" s="1"/>
  <c r="H120" s="1"/>
  <c r="I124"/>
  <c r="I123" s="1"/>
  <c r="I122" s="1"/>
  <c r="I121" s="1"/>
  <c r="I120" s="1"/>
  <c r="H279"/>
  <c r="I279"/>
  <c r="I294"/>
  <c r="I293" s="1"/>
  <c r="I292" s="1"/>
  <c r="I291" s="1"/>
  <c r="I290" s="1"/>
  <c r="H294"/>
  <c r="H293" s="1"/>
  <c r="H292" s="1"/>
  <c r="H291" s="1"/>
  <c r="H290" s="1"/>
  <c r="H219"/>
  <c r="G163" i="2" s="1"/>
  <c r="I219" i="1"/>
  <c r="H163" i="2" s="1"/>
  <c r="I163" s="1"/>
  <c r="G219" i="1"/>
  <c r="F163" i="2" s="1"/>
  <c r="G169" i="1"/>
  <c r="H588"/>
  <c r="H587" s="1"/>
  <c r="G34" i="2" s="1"/>
  <c r="I34" s="1"/>
  <c r="I588" i="1"/>
  <c r="I587" s="1"/>
  <c r="G588"/>
  <c r="G587" s="1"/>
  <c r="F34" i="2" s="1"/>
  <c r="H591" i="1"/>
  <c r="H590" s="1"/>
  <c r="G35" i="2" s="1"/>
  <c r="I35" s="1"/>
  <c r="I591" i="1"/>
  <c r="I590" s="1"/>
  <c r="G591"/>
  <c r="G590" s="1"/>
  <c r="F35" i="2" s="1"/>
  <c r="H594" i="1"/>
  <c r="H593" s="1"/>
  <c r="G36" i="2" s="1"/>
  <c r="I36" s="1"/>
  <c r="I594" i="1"/>
  <c r="I593" s="1"/>
  <c r="G594"/>
  <c r="G593" s="1"/>
  <c r="F36" i="2" s="1"/>
  <c r="G546" i="1"/>
  <c r="G502"/>
  <c r="G501"/>
  <c r="H468"/>
  <c r="H467" s="1"/>
  <c r="H466" s="1"/>
  <c r="H465" s="1"/>
  <c r="I468"/>
  <c r="I467" s="1"/>
  <c r="I466" s="1"/>
  <c r="I465" s="1"/>
  <c r="G468"/>
  <c r="G467" s="1"/>
  <c r="H327" l="1"/>
  <c r="H326" s="1"/>
  <c r="H325" s="1"/>
  <c r="I327"/>
  <c r="I326" s="1"/>
  <c r="I325" s="1"/>
  <c r="I129"/>
  <c r="I128" s="1"/>
  <c r="I127" s="1"/>
  <c r="I126" s="1"/>
  <c r="G466"/>
  <c r="G465" s="1"/>
  <c r="F230" i="2"/>
  <c r="H129" i="1"/>
  <c r="H128" s="1"/>
  <c r="H127" s="1"/>
  <c r="H126" s="1"/>
  <c r="H460"/>
  <c r="H459" s="1"/>
  <c r="G67" i="2" s="1"/>
  <c r="I67" s="1"/>
  <c r="I460" i="1"/>
  <c r="I459" s="1"/>
  <c r="G460"/>
  <c r="G459" s="1"/>
  <c r="F67" i="2" s="1"/>
  <c r="H424" i="1" l="1"/>
  <c r="H423" s="1"/>
  <c r="I424"/>
  <c r="I423" s="1"/>
  <c r="G424"/>
  <c r="G423" s="1"/>
  <c r="H47"/>
  <c r="H46" s="1"/>
  <c r="I47"/>
  <c r="I46" s="1"/>
  <c r="G47"/>
  <c r="G46" s="1"/>
  <c r="I84"/>
  <c r="I82" s="1"/>
  <c r="I81" s="1"/>
  <c r="I80" s="1"/>
  <c r="H84"/>
  <c r="H82" s="1"/>
  <c r="H81" s="1"/>
  <c r="H80" s="1"/>
  <c r="G84"/>
  <c r="G82" s="1"/>
  <c r="G81" s="1"/>
  <c r="G80" s="1"/>
  <c r="H79" l="1"/>
  <c r="E54" i="3"/>
  <c r="H45" i="1"/>
  <c r="H44" s="1"/>
  <c r="H43" s="1"/>
  <c r="H42" s="1"/>
  <c r="G144" i="2"/>
  <c r="G422" i="1"/>
  <c r="G421" s="1"/>
  <c r="F229" i="2"/>
  <c r="I79" i="1"/>
  <c r="F54" i="3"/>
  <c r="I422" i="1"/>
  <c r="I421" s="1"/>
  <c r="H228" i="2"/>
  <c r="H422" i="1"/>
  <c r="H421" s="1"/>
  <c r="G228" i="2"/>
  <c r="G79" i="1"/>
  <c r="D54" i="3"/>
  <c r="I45" i="1"/>
  <c r="I44" s="1"/>
  <c r="I43" s="1"/>
  <c r="I42" s="1"/>
  <c r="H144" i="2"/>
  <c r="I144" s="1"/>
  <c r="G45" i="1"/>
  <c r="G44" s="1"/>
  <c r="G43" s="1"/>
  <c r="G42" s="1"/>
  <c r="F144" i="2"/>
  <c r="I83" i="1"/>
  <c r="H83"/>
  <c r="G83"/>
  <c r="F14" i="2" s="1"/>
  <c r="I116" i="1"/>
  <c r="I115" s="1"/>
  <c r="H116"/>
  <c r="H115" s="1"/>
  <c r="G116"/>
  <c r="G115" s="1"/>
  <c r="I228" i="2" l="1"/>
  <c r="F228"/>
  <c r="G114" i="1"/>
  <c r="G109" s="1"/>
  <c r="F119" i="2"/>
  <c r="G14"/>
  <c r="I14" s="1"/>
  <c r="H114" i="1"/>
  <c r="H109" s="1"/>
  <c r="G119" i="2"/>
  <c r="I114" i="1"/>
  <c r="I109" s="1"/>
  <c r="H116" i="2"/>
  <c r="I33" i="1"/>
  <c r="I116" i="2" l="1"/>
  <c r="G116"/>
  <c r="I119"/>
  <c r="F116"/>
  <c r="H157" i="1"/>
  <c r="H154" s="1"/>
  <c r="H235"/>
  <c r="G235"/>
  <c r="H19"/>
  <c r="B177" i="2" l="1"/>
  <c r="G177"/>
  <c r="G176" s="1"/>
  <c r="H177"/>
  <c r="F177"/>
  <c r="C177"/>
  <c r="H242" i="1"/>
  <c r="H241" s="1"/>
  <c r="I242"/>
  <c r="I241" s="1"/>
  <c r="G242"/>
  <c r="G241" s="1"/>
  <c r="G204" i="2"/>
  <c r="H204"/>
  <c r="F204"/>
  <c r="C204"/>
  <c r="B204"/>
  <c r="H637" i="1"/>
  <c r="H636" s="1"/>
  <c r="I637"/>
  <c r="I636" s="1"/>
  <c r="G637"/>
  <c r="G636" s="1"/>
  <c r="G131" i="2"/>
  <c r="G130" s="1"/>
  <c r="H131"/>
  <c r="F131"/>
  <c r="C131"/>
  <c r="B131"/>
  <c r="H67" i="1"/>
  <c r="H66" s="1"/>
  <c r="H65" s="1"/>
  <c r="H64" s="1"/>
  <c r="I67"/>
  <c r="I66" s="1"/>
  <c r="I65" s="1"/>
  <c r="I64" s="1"/>
  <c r="G67"/>
  <c r="G66" s="1"/>
  <c r="G65" s="1"/>
  <c r="G64" s="1"/>
  <c r="H130" i="2" l="1"/>
  <c r="I130" s="1"/>
  <c r="I131"/>
  <c r="I204"/>
  <c r="H176"/>
  <c r="I176" s="1"/>
  <c r="I177"/>
  <c r="F130"/>
  <c r="F176"/>
  <c r="G62" i="1"/>
  <c r="H240"/>
  <c r="H239" s="1"/>
  <c r="I240"/>
  <c r="I239" s="1"/>
  <c r="G240"/>
  <c r="G239" s="1"/>
  <c r="I63" l="1"/>
  <c r="I62"/>
  <c r="H63"/>
  <c r="E34" i="3" s="1"/>
  <c r="H62" i="1"/>
  <c r="F34" i="3"/>
  <c r="G63" i="1"/>
  <c r="D34" i="3" s="1"/>
  <c r="C158" i="2"/>
  <c r="G156"/>
  <c r="H156"/>
  <c r="F156"/>
  <c r="G155"/>
  <c r="H155"/>
  <c r="F155"/>
  <c r="C155"/>
  <c r="I155" l="1"/>
  <c r="I156"/>
  <c r="H154"/>
  <c r="I154" s="1"/>
  <c r="G154"/>
  <c r="F154"/>
  <c r="G63"/>
  <c r="I63" s="1"/>
  <c r="F63"/>
  <c r="E63"/>
  <c r="D63"/>
  <c r="C63"/>
  <c r="B63"/>
  <c r="G52"/>
  <c r="I52" s="1"/>
  <c r="F52"/>
  <c r="E52"/>
  <c r="D52"/>
  <c r="C52"/>
  <c r="B52"/>
  <c r="H448" i="1" l="1"/>
  <c r="H447" s="1"/>
  <c r="I448"/>
  <c r="I447" s="1"/>
  <c r="G448"/>
  <c r="G447" s="1"/>
  <c r="H410"/>
  <c r="H409" s="1"/>
  <c r="I410"/>
  <c r="I409" s="1"/>
  <c r="G410"/>
  <c r="G409" s="1"/>
  <c r="C65" i="2" l="1"/>
  <c r="F133" i="1" l="1"/>
  <c r="G65" i="2" l="1"/>
  <c r="I65" s="1"/>
  <c r="F65"/>
  <c r="G186"/>
  <c r="H186"/>
  <c r="F186"/>
  <c r="G185"/>
  <c r="H185"/>
  <c r="I185" s="1"/>
  <c r="F185"/>
  <c r="G153"/>
  <c r="H153"/>
  <c r="F153"/>
  <c r="D153"/>
  <c r="C153"/>
  <c r="B153"/>
  <c r="I153" l="1"/>
  <c r="I186"/>
  <c r="G328" i="1"/>
  <c r="G330"/>
  <c r="H237"/>
  <c r="H236" s="1"/>
  <c r="I237"/>
  <c r="I236" s="1"/>
  <c r="G237"/>
  <c r="G236" s="1"/>
  <c r="G327" l="1"/>
  <c r="G326" s="1"/>
  <c r="G325" s="1"/>
  <c r="H457"/>
  <c r="H456" s="1"/>
  <c r="I457"/>
  <c r="I456" s="1"/>
  <c r="G457"/>
  <c r="G456" s="1"/>
  <c r="I171" l="1"/>
  <c r="I170" s="1"/>
  <c r="H207" i="2"/>
  <c r="H208"/>
  <c r="H209"/>
  <c r="H210"/>
  <c r="H211"/>
  <c r="H212"/>
  <c r="H213"/>
  <c r="H214"/>
  <c r="H215"/>
  <c r="H216"/>
  <c r="H217"/>
  <c r="H218"/>
  <c r="H220"/>
  <c r="H221"/>
  <c r="H222"/>
  <c r="H223"/>
  <c r="H224"/>
  <c r="H225"/>
  <c r="H226"/>
  <c r="H206" l="1"/>
  <c r="H205" l="1"/>
  <c r="G55"/>
  <c r="I55" s="1"/>
  <c r="F55"/>
  <c r="C55"/>
  <c r="H433" i="1"/>
  <c r="H432" s="1"/>
  <c r="I433"/>
  <c r="I432" s="1"/>
  <c r="G433"/>
  <c r="G432" s="1"/>
  <c r="G181" i="2"/>
  <c r="H181"/>
  <c r="F181"/>
  <c r="H254" i="1"/>
  <c r="I254"/>
  <c r="G254"/>
  <c r="C40" i="2"/>
  <c r="H579" i="1"/>
  <c r="H578" s="1"/>
  <c r="G40" i="2" s="1"/>
  <c r="I40" s="1"/>
  <c r="I579" i="1"/>
  <c r="I578" s="1"/>
  <c r="G579"/>
  <c r="G578" s="1"/>
  <c r="F40" i="2" s="1"/>
  <c r="I181" l="1"/>
  <c r="G45"/>
  <c r="H44"/>
  <c r="F45"/>
  <c r="C45"/>
  <c r="H608" i="1"/>
  <c r="H607" s="1"/>
  <c r="H606" s="1"/>
  <c r="I608"/>
  <c r="I607" s="1"/>
  <c r="I606" s="1"/>
  <c r="G608"/>
  <c r="G607" s="1"/>
  <c r="G606" s="1"/>
  <c r="G44" i="2" l="1"/>
  <c r="I45"/>
  <c r="I44"/>
  <c r="F44"/>
  <c r="G170"/>
  <c r="H170"/>
  <c r="F170"/>
  <c r="C170"/>
  <c r="I170" l="1"/>
  <c r="C168"/>
  <c r="C64"/>
  <c r="G463" i="1" l="1"/>
  <c r="G462" s="1"/>
  <c r="F64" i="2" s="1"/>
  <c r="H463" i="1"/>
  <c r="H462" s="1"/>
  <c r="G64" i="2" s="1"/>
  <c r="I64" s="1"/>
  <c r="I463" i="1"/>
  <c r="I462" s="1"/>
  <c r="G377" l="1"/>
  <c r="H377"/>
  <c r="I377"/>
  <c r="H379"/>
  <c r="I379"/>
  <c r="I376" l="1"/>
  <c r="H376"/>
  <c r="F15" i="3"/>
  <c r="F17"/>
  <c r="G224" i="2"/>
  <c r="I224" s="1"/>
  <c r="F224"/>
  <c r="G223"/>
  <c r="I223" s="1"/>
  <c r="F223"/>
  <c r="C223"/>
  <c r="H313" i="1"/>
  <c r="I313"/>
  <c r="G313"/>
  <c r="G311"/>
  <c r="G310" l="1"/>
  <c r="I310"/>
  <c r="H310"/>
  <c r="G478" l="1"/>
  <c r="G477" s="1"/>
  <c r="H478"/>
  <c r="H477" s="1"/>
  <c r="I478"/>
  <c r="I477" s="1"/>
  <c r="G481"/>
  <c r="H481"/>
  <c r="I481"/>
  <c r="H485"/>
  <c r="I485"/>
  <c r="H476" l="1"/>
  <c r="H480"/>
  <c r="I480"/>
  <c r="I476" s="1"/>
  <c r="I500"/>
  <c r="I496"/>
  <c r="I494"/>
  <c r="I430"/>
  <c r="I429" s="1"/>
  <c r="I493" l="1"/>
  <c r="I492" s="1"/>
  <c r="I576"/>
  <c r="I575" s="1"/>
  <c r="I416"/>
  <c r="I415" s="1"/>
  <c r="I413"/>
  <c r="I412" s="1"/>
  <c r="I407"/>
  <c r="I406" s="1"/>
  <c r="I323"/>
  <c r="I321"/>
  <c r="I318"/>
  <c r="I317" s="1"/>
  <c r="I306"/>
  <c r="I308"/>
  <c r="I300"/>
  <c r="I299" s="1"/>
  <c r="I298" s="1"/>
  <c r="I297" s="1"/>
  <c r="I296" s="1"/>
  <c r="I288"/>
  <c r="I281"/>
  <c r="I278" s="1"/>
  <c r="I272"/>
  <c r="I270"/>
  <c r="I263"/>
  <c r="I262" s="1"/>
  <c r="I260"/>
  <c r="I259" s="1"/>
  <c r="I252"/>
  <c r="I234"/>
  <c r="I233" s="1"/>
  <c r="I228"/>
  <c r="I227" s="1"/>
  <c r="I221"/>
  <c r="I217"/>
  <c r="I216" s="1"/>
  <c r="I211"/>
  <c r="I209"/>
  <c r="I202"/>
  <c r="I201" s="1"/>
  <c r="I199"/>
  <c r="I198" s="1"/>
  <c r="I196"/>
  <c r="I195" s="1"/>
  <c r="I192"/>
  <c r="I191" s="1"/>
  <c r="I190" s="1"/>
  <c r="I183"/>
  <c r="I185"/>
  <c r="I174"/>
  <c r="I173" s="1"/>
  <c r="I178"/>
  <c r="I177" s="1"/>
  <c r="I168"/>
  <c r="I167" s="1"/>
  <c r="I165"/>
  <c r="I164" s="1"/>
  <c r="I162"/>
  <c r="I160"/>
  <c r="I157"/>
  <c r="I154" s="1"/>
  <c r="I149"/>
  <c r="I148" s="1"/>
  <c r="I143"/>
  <c r="I142" s="1"/>
  <c r="I226" l="1"/>
  <c r="I225"/>
  <c r="I215"/>
  <c r="I214" s="1"/>
  <c r="I213" s="1"/>
  <c r="I232"/>
  <c r="I231" s="1"/>
  <c r="I230" s="1"/>
  <c r="F29" i="3" s="1"/>
  <c r="I491" i="1"/>
  <c r="I490" s="1"/>
  <c r="I251"/>
  <c r="I250" s="1"/>
  <c r="I249" s="1"/>
  <c r="I248" s="1"/>
  <c r="F31" i="3" s="1"/>
  <c r="I287" i="1"/>
  <c r="I286" s="1"/>
  <c r="I285" s="1"/>
  <c r="I284" s="1"/>
  <c r="F48" i="3"/>
  <c r="I182" i="1"/>
  <c r="I305"/>
  <c r="I320"/>
  <c r="I316" s="1"/>
  <c r="I315" s="1"/>
  <c r="I277"/>
  <c r="I276" s="1"/>
  <c r="I275" s="1"/>
  <c r="I274" s="1"/>
  <c r="I269"/>
  <c r="I268" s="1"/>
  <c r="I267" s="1"/>
  <c r="I258"/>
  <c r="I257" s="1"/>
  <c r="I208"/>
  <c r="I207" s="1"/>
  <c r="I206" s="1"/>
  <c r="I205" s="1"/>
  <c r="I194"/>
  <c r="I189" s="1"/>
  <c r="I188" s="1"/>
  <c r="I187" s="1"/>
  <c r="I159"/>
  <c r="I153" s="1"/>
  <c r="I152" s="1"/>
  <c r="I147"/>
  <c r="I146"/>
  <c r="I145" s="1"/>
  <c r="I141"/>
  <c r="I140"/>
  <c r="I139" s="1"/>
  <c r="I224" l="1"/>
  <c r="I204" s="1"/>
  <c r="I256"/>
  <c r="I247" s="1"/>
  <c r="I181"/>
  <c r="I176" s="1"/>
  <c r="I151" s="1"/>
  <c r="I119" s="1"/>
  <c r="F14" i="3"/>
  <c r="F25"/>
  <c r="F26"/>
  <c r="I266" i="1"/>
  <c r="I265" s="1"/>
  <c r="F36" i="3"/>
  <c r="F35" s="1"/>
  <c r="F32"/>
  <c r="F30" s="1"/>
  <c r="I304" i="1"/>
  <c r="I303" s="1"/>
  <c r="I302" s="1"/>
  <c r="I283" s="1"/>
  <c r="I118" l="1"/>
  <c r="F51" i="3"/>
  <c r="I521" i="1"/>
  <c r="I519"/>
  <c r="I513"/>
  <c r="I512" s="1"/>
  <c r="I508"/>
  <c r="I510"/>
  <c r="I474"/>
  <c r="I473" s="1"/>
  <c r="I472" s="1"/>
  <c r="I471" s="1"/>
  <c r="I454"/>
  <c r="I453" s="1"/>
  <c r="I451"/>
  <c r="I450" s="1"/>
  <c r="I442"/>
  <c r="I441" s="1"/>
  <c r="I439"/>
  <c r="I438" s="1"/>
  <c r="I436"/>
  <c r="I435" s="1"/>
  <c r="I419"/>
  <c r="I418" s="1"/>
  <c r="I405" s="1"/>
  <c r="I404" s="1"/>
  <c r="I403" s="1"/>
  <c r="I619"/>
  <c r="I618" s="1"/>
  <c r="I617" s="1"/>
  <c r="I615"/>
  <c r="I614" s="1"/>
  <c r="I613" s="1"/>
  <c r="I604"/>
  <c r="I602"/>
  <c r="I600"/>
  <c r="I585"/>
  <c r="I584" s="1"/>
  <c r="I574" s="1"/>
  <c r="I569"/>
  <c r="I568" s="1"/>
  <c r="I566"/>
  <c r="I565" s="1"/>
  <c r="I559"/>
  <c r="I558" s="1"/>
  <c r="I556"/>
  <c r="I555" s="1"/>
  <c r="I554" s="1"/>
  <c r="I549"/>
  <c r="I548" s="1"/>
  <c r="I547" s="1"/>
  <c r="I545"/>
  <c r="I544" s="1"/>
  <c r="I542"/>
  <c r="I541" s="1"/>
  <c r="I538"/>
  <c r="I537" s="1"/>
  <c r="I535"/>
  <c r="I534" s="1"/>
  <c r="I529"/>
  <c r="I528" s="1"/>
  <c r="I428" l="1"/>
  <c r="I427" s="1"/>
  <c r="I426" s="1"/>
  <c r="I564"/>
  <c r="I533"/>
  <c r="I526"/>
  <c r="I525" s="1"/>
  <c r="I470"/>
  <c r="I540"/>
  <c r="I507"/>
  <c r="I506" s="1"/>
  <c r="I505" s="1"/>
  <c r="I504" s="1"/>
  <c r="F49" i="3" s="1"/>
  <c r="I518" i="1"/>
  <c r="I517" s="1"/>
  <c r="I516" s="1"/>
  <c r="I515" s="1"/>
  <c r="F50" i="3" s="1"/>
  <c r="I612" i="1"/>
  <c r="I611" s="1"/>
  <c r="I599"/>
  <c r="I598" s="1"/>
  <c r="I597" s="1"/>
  <c r="I402" l="1"/>
  <c r="I596"/>
  <c r="F46" i="3" s="1"/>
  <c r="F47"/>
  <c r="I610" i="1"/>
  <c r="F53" i="3"/>
  <c r="F52" s="1"/>
  <c r="I532" i="1"/>
  <c r="I531" s="1"/>
  <c r="I503"/>
  <c r="I553"/>
  <c r="I552" s="1"/>
  <c r="I401" l="1"/>
  <c r="I551"/>
  <c r="F45" i="3"/>
  <c r="F44" s="1"/>
  <c r="I524" i="1"/>
  <c r="I101"/>
  <c r="I100" s="1"/>
  <c r="I107"/>
  <c r="I106" s="1"/>
  <c r="I105" s="1"/>
  <c r="I104" s="1"/>
  <c r="I103" s="1"/>
  <c r="I98"/>
  <c r="I97" s="1"/>
  <c r="I91"/>
  <c r="I90" s="1"/>
  <c r="I89" s="1"/>
  <c r="I88" s="1"/>
  <c r="I87" s="1"/>
  <c r="I77"/>
  <c r="I76" s="1"/>
  <c r="I75" s="1"/>
  <c r="I74" s="1"/>
  <c r="I73" s="1"/>
  <c r="I72" s="1"/>
  <c r="I60"/>
  <c r="I59" s="1"/>
  <c r="I58" s="1"/>
  <c r="I54"/>
  <c r="I53" s="1"/>
  <c r="I52" s="1"/>
  <c r="I51" s="1"/>
  <c r="I50" s="1"/>
  <c r="I57" l="1"/>
  <c r="I56" s="1"/>
  <c r="F27" i="3" s="1"/>
  <c r="F59"/>
  <c r="F24"/>
  <c r="I523" i="1"/>
  <c r="F12" i="3"/>
  <c r="I86" i="1"/>
  <c r="F56" i="3"/>
  <c r="F55" s="1"/>
  <c r="F38"/>
  <c r="I96" i="1"/>
  <c r="I95" s="1"/>
  <c r="I94" s="1"/>
  <c r="I49" l="1"/>
  <c r="F23" i="3"/>
  <c r="I93" i="1"/>
  <c r="F58" i="3"/>
  <c r="F57" s="1"/>
  <c r="I40" i="1"/>
  <c r="I39" s="1"/>
  <c r="I32"/>
  <c r="G23"/>
  <c r="H23"/>
  <c r="I23"/>
  <c r="I21"/>
  <c r="I649"/>
  <c r="I647"/>
  <c r="I645"/>
  <c r="I652"/>
  <c r="I651" s="1"/>
  <c r="I658"/>
  <c r="I657" s="1"/>
  <c r="I655"/>
  <c r="I654" s="1"/>
  <c r="I634"/>
  <c r="I633" s="1"/>
  <c r="I631"/>
  <c r="I629"/>
  <c r="I627"/>
  <c r="I399"/>
  <c r="I398" s="1"/>
  <c r="I396"/>
  <c r="I395" s="1"/>
  <c r="I391"/>
  <c r="I389"/>
  <c r="I387"/>
  <c r="I370"/>
  <c r="I374"/>
  <c r="I372"/>
  <c r="I353"/>
  <c r="I355"/>
  <c r="I357"/>
  <c r="I360"/>
  <c r="I362"/>
  <c r="I340"/>
  <c r="I342"/>
  <c r="I338"/>
  <c r="I345"/>
  <c r="I344" s="1"/>
  <c r="H243" i="2"/>
  <c r="H244"/>
  <c r="H245"/>
  <c r="H232"/>
  <c r="H233"/>
  <c r="H234"/>
  <c r="H236"/>
  <c r="H237"/>
  <c r="H238"/>
  <c r="H240"/>
  <c r="H200"/>
  <c r="H201"/>
  <c r="H202"/>
  <c r="H203"/>
  <c r="H194"/>
  <c r="H195"/>
  <c r="H196"/>
  <c r="H197"/>
  <c r="H188"/>
  <c r="H189"/>
  <c r="H192"/>
  <c r="H193"/>
  <c r="H180"/>
  <c r="H182"/>
  <c r="H184"/>
  <c r="H175"/>
  <c r="H168"/>
  <c r="H162"/>
  <c r="H164"/>
  <c r="H158"/>
  <c r="H159"/>
  <c r="H152"/>
  <c r="H147"/>
  <c r="H148"/>
  <c r="H149"/>
  <c r="H142"/>
  <c r="H143"/>
  <c r="H136"/>
  <c r="H137"/>
  <c r="H126"/>
  <c r="H96"/>
  <c r="H18"/>
  <c r="H12"/>
  <c r="H15"/>
  <c r="H125" l="1"/>
  <c r="H139"/>
  <c r="H151"/>
  <c r="H161"/>
  <c r="H135"/>
  <c r="H183"/>
  <c r="H174"/>
  <c r="H167"/>
  <c r="H71"/>
  <c r="H53"/>
  <c r="H32"/>
  <c r="I18" i="1"/>
  <c r="H78" i="2"/>
  <c r="H231"/>
  <c r="H110"/>
  <c r="H199"/>
  <c r="H157"/>
  <c r="H47"/>
  <c r="I359" i="1"/>
  <c r="H89" i="2"/>
  <c r="H242"/>
  <c r="H103"/>
  <c r="H179"/>
  <c r="H239"/>
  <c r="I352" i="1"/>
  <c r="H93" i="2"/>
  <c r="H187"/>
  <c r="H146"/>
  <c r="H99"/>
  <c r="I38" i="1"/>
  <c r="I37"/>
  <c r="I36"/>
  <c r="I31"/>
  <c r="I30"/>
  <c r="I29" s="1"/>
  <c r="I17"/>
  <c r="I644"/>
  <c r="I626"/>
  <c r="I394"/>
  <c r="I393" s="1"/>
  <c r="I386"/>
  <c r="I385" s="1"/>
  <c r="I384" s="1"/>
  <c r="I369"/>
  <c r="I368" s="1"/>
  <c r="I337"/>
  <c r="I336" s="1"/>
  <c r="H191" i="2"/>
  <c r="H120"/>
  <c r="H11"/>
  <c r="H241" l="1"/>
  <c r="H150"/>
  <c r="H190"/>
  <c r="H235"/>
  <c r="H198"/>
  <c r="H138"/>
  <c r="H227"/>
  <c r="I625" i="1"/>
  <c r="I624" s="1"/>
  <c r="I623" s="1"/>
  <c r="I622" s="1"/>
  <c r="I621" s="1"/>
  <c r="I351"/>
  <c r="I350" s="1"/>
  <c r="I349" s="1"/>
  <c r="I348" s="1"/>
  <c r="I347" s="1"/>
  <c r="H172" i="2"/>
  <c r="I335" i="1"/>
  <c r="I334" s="1"/>
  <c r="F22" i="3" s="1"/>
  <c r="I367" i="1"/>
  <c r="I366" s="1"/>
  <c r="I365" s="1"/>
  <c r="I364" s="1"/>
  <c r="I16"/>
  <c r="I15" s="1"/>
  <c r="I14" s="1"/>
  <c r="H129" i="2"/>
  <c r="I35" i="1"/>
  <c r="F20" i="3"/>
  <c r="F19" s="1"/>
  <c r="H46" i="2"/>
  <c r="H88"/>
  <c r="H160"/>
  <c r="H17"/>
  <c r="I383" i="1"/>
  <c r="I382" s="1"/>
  <c r="I381" s="1"/>
  <c r="H98" i="2"/>
  <c r="I643" i="1"/>
  <c r="I642" s="1"/>
  <c r="I641" s="1"/>
  <c r="H109" i="2"/>
  <c r="H246" l="1"/>
  <c r="I13" i="1"/>
  <c r="F21" i="3"/>
  <c r="I333" i="1"/>
  <c r="I332" s="1"/>
  <c r="F16" i="3"/>
  <c r="I640" i="1"/>
  <c r="I639" s="1"/>
  <c r="F13" i="3"/>
  <c r="F18"/>
  <c r="F203" i="2"/>
  <c r="G203"/>
  <c r="I203" s="1"/>
  <c r="C203"/>
  <c r="G634" i="1"/>
  <c r="G633" s="1"/>
  <c r="H634"/>
  <c r="H633" s="1"/>
  <c r="I660" l="1"/>
  <c r="I663" s="1"/>
  <c r="F11" i="3"/>
  <c r="F60" s="1"/>
  <c r="H248" i="2" l="1"/>
  <c r="F91"/>
  <c r="G91"/>
  <c r="I91" s="1"/>
  <c r="G77" i="1"/>
  <c r="G76" s="1"/>
  <c r="G75" s="1"/>
  <c r="G74" s="1"/>
  <c r="G73" s="1"/>
  <c r="G72" s="1"/>
  <c r="H77"/>
  <c r="H76" s="1"/>
  <c r="H75" s="1"/>
  <c r="H74" s="1"/>
  <c r="H73" s="1"/>
  <c r="H72" s="1"/>
  <c r="H387" l="1"/>
  <c r="G244" i="2" l="1"/>
  <c r="I244" s="1"/>
  <c r="F245"/>
  <c r="G245"/>
  <c r="I245" s="1"/>
  <c r="G236"/>
  <c r="I236" s="1"/>
  <c r="F237"/>
  <c r="G237"/>
  <c r="I237" s="1"/>
  <c r="F238"/>
  <c r="G238"/>
  <c r="I238" s="1"/>
  <c r="F239"/>
  <c r="F240"/>
  <c r="G240"/>
  <c r="I240" s="1"/>
  <c r="F232"/>
  <c r="F233"/>
  <c r="F234"/>
  <c r="F221"/>
  <c r="G221"/>
  <c r="I221" s="1"/>
  <c r="F222"/>
  <c r="G222"/>
  <c r="I222" s="1"/>
  <c r="F225"/>
  <c r="G225"/>
  <c r="I225" s="1"/>
  <c r="F226"/>
  <c r="G226"/>
  <c r="I226" s="1"/>
  <c r="F207"/>
  <c r="G207"/>
  <c r="I207" s="1"/>
  <c r="F208"/>
  <c r="G208"/>
  <c r="I208" s="1"/>
  <c r="F209"/>
  <c r="G209"/>
  <c r="I209" s="1"/>
  <c r="F210"/>
  <c r="G210"/>
  <c r="I210" s="1"/>
  <c r="F211"/>
  <c r="G211"/>
  <c r="I211" s="1"/>
  <c r="G212"/>
  <c r="I212" s="1"/>
  <c r="F213"/>
  <c r="G213"/>
  <c r="I213" s="1"/>
  <c r="F214"/>
  <c r="G214"/>
  <c r="I214" s="1"/>
  <c r="F215"/>
  <c r="G215"/>
  <c r="I215" s="1"/>
  <c r="F216"/>
  <c r="G216"/>
  <c r="I216" s="1"/>
  <c r="F217"/>
  <c r="G217"/>
  <c r="I217" s="1"/>
  <c r="F218"/>
  <c r="G218"/>
  <c r="I218" s="1"/>
  <c r="F220"/>
  <c r="G220"/>
  <c r="I220" s="1"/>
  <c r="F200"/>
  <c r="G200"/>
  <c r="I200" s="1"/>
  <c r="F201"/>
  <c r="G201"/>
  <c r="I201" s="1"/>
  <c r="F202"/>
  <c r="G202"/>
  <c r="I202" s="1"/>
  <c r="F192"/>
  <c r="G192"/>
  <c r="I192" s="1"/>
  <c r="G193"/>
  <c r="I193" s="1"/>
  <c r="F194"/>
  <c r="G194"/>
  <c r="I194" s="1"/>
  <c r="F195"/>
  <c r="G195"/>
  <c r="I195" s="1"/>
  <c r="F196"/>
  <c r="G196"/>
  <c r="I196" s="1"/>
  <c r="F197"/>
  <c r="G197"/>
  <c r="I197" s="1"/>
  <c r="F188"/>
  <c r="G188"/>
  <c r="I188" s="1"/>
  <c r="F189"/>
  <c r="G189"/>
  <c r="I189" s="1"/>
  <c r="F182"/>
  <c r="G182"/>
  <c r="I182" s="1"/>
  <c r="F184"/>
  <c r="G162"/>
  <c r="F164"/>
  <c r="G164"/>
  <c r="I164" s="1"/>
  <c r="F158"/>
  <c r="G158"/>
  <c r="I158" s="1"/>
  <c r="F159"/>
  <c r="G159"/>
  <c r="I159" s="1"/>
  <c r="G140"/>
  <c r="F141"/>
  <c r="G141"/>
  <c r="I141" s="1"/>
  <c r="F142"/>
  <c r="F136"/>
  <c r="G136"/>
  <c r="I136" s="1"/>
  <c r="F137"/>
  <c r="G137"/>
  <c r="I137" s="1"/>
  <c r="F123"/>
  <c r="G123"/>
  <c r="I123" s="1"/>
  <c r="F124"/>
  <c r="G124"/>
  <c r="I124" s="1"/>
  <c r="F121"/>
  <c r="G121"/>
  <c r="I121" s="1"/>
  <c r="F122"/>
  <c r="G122"/>
  <c r="I122" s="1"/>
  <c r="F114"/>
  <c r="G114"/>
  <c r="I114" s="1"/>
  <c r="F111"/>
  <c r="G111"/>
  <c r="I111" s="1"/>
  <c r="F104"/>
  <c r="G104"/>
  <c r="I104" s="1"/>
  <c r="F105"/>
  <c r="G105"/>
  <c r="I105" s="1"/>
  <c r="F106"/>
  <c r="G106"/>
  <c r="I106" s="1"/>
  <c r="F107"/>
  <c r="G107"/>
  <c r="I107" s="1"/>
  <c r="F108"/>
  <c r="G108"/>
  <c r="I108" s="1"/>
  <c r="F100"/>
  <c r="G100"/>
  <c r="I100" s="1"/>
  <c r="F101"/>
  <c r="G101"/>
  <c r="I101" s="1"/>
  <c r="F102"/>
  <c r="G102"/>
  <c r="I102" s="1"/>
  <c r="F97"/>
  <c r="G97"/>
  <c r="I97" s="1"/>
  <c r="F94"/>
  <c r="G94"/>
  <c r="I94" s="1"/>
  <c r="F90"/>
  <c r="G90"/>
  <c r="I90" s="1"/>
  <c r="G92"/>
  <c r="I92" s="1"/>
  <c r="F79"/>
  <c r="G79"/>
  <c r="I79" s="1"/>
  <c r="F81"/>
  <c r="G81"/>
  <c r="I81" s="1"/>
  <c r="F82"/>
  <c r="G82"/>
  <c r="I82" s="1"/>
  <c r="F83"/>
  <c r="G83"/>
  <c r="I83" s="1"/>
  <c r="F84"/>
  <c r="G84"/>
  <c r="I84" s="1"/>
  <c r="F85"/>
  <c r="G85"/>
  <c r="I85" s="1"/>
  <c r="F86"/>
  <c r="G86"/>
  <c r="I86" s="1"/>
  <c r="F87"/>
  <c r="G87"/>
  <c r="I87" s="1"/>
  <c r="G72"/>
  <c r="I72" s="1"/>
  <c r="F73"/>
  <c r="F74"/>
  <c r="G74"/>
  <c r="I74" s="1"/>
  <c r="F75"/>
  <c r="G75"/>
  <c r="I75" s="1"/>
  <c r="F76"/>
  <c r="G68"/>
  <c r="I68" s="1"/>
  <c r="F69"/>
  <c r="G69"/>
  <c r="I69" s="1"/>
  <c r="F60"/>
  <c r="G60"/>
  <c r="I60" s="1"/>
  <c r="G61"/>
  <c r="I61" s="1"/>
  <c r="G54"/>
  <c r="I54" s="1"/>
  <c r="F56"/>
  <c r="G56"/>
  <c r="I56" s="1"/>
  <c r="G57"/>
  <c r="I57" s="1"/>
  <c r="F58"/>
  <c r="G58"/>
  <c r="I58" s="1"/>
  <c r="G59"/>
  <c r="I59" s="1"/>
  <c r="F51"/>
  <c r="G51"/>
  <c r="I51" s="1"/>
  <c r="F48"/>
  <c r="G48"/>
  <c r="I48" s="1"/>
  <c r="F50"/>
  <c r="G50"/>
  <c r="I50" s="1"/>
  <c r="G33"/>
  <c r="I33" s="1"/>
  <c r="F37"/>
  <c r="G37"/>
  <c r="I37" s="1"/>
  <c r="F38"/>
  <c r="G38"/>
  <c r="I38" s="1"/>
  <c r="F39"/>
  <c r="G39"/>
  <c r="I39" s="1"/>
  <c r="F41"/>
  <c r="G41"/>
  <c r="I41" s="1"/>
  <c r="F42"/>
  <c r="G42"/>
  <c r="I42" s="1"/>
  <c r="G29"/>
  <c r="G30"/>
  <c r="I30" s="1"/>
  <c r="F23"/>
  <c r="G23"/>
  <c r="I23" s="1"/>
  <c r="F24"/>
  <c r="G24"/>
  <c r="I24" s="1"/>
  <c r="F25"/>
  <c r="G25"/>
  <c r="I25" s="1"/>
  <c r="F26"/>
  <c r="G26"/>
  <c r="I26" s="1"/>
  <c r="F27"/>
  <c r="G27"/>
  <c r="I27" s="1"/>
  <c r="G28" l="1"/>
  <c r="I28" s="1"/>
  <c r="I29"/>
  <c r="I140"/>
  <c r="G161"/>
  <c r="I161" s="1"/>
  <c r="I162"/>
  <c r="F183"/>
  <c r="F135"/>
  <c r="G135"/>
  <c r="I135" s="1"/>
  <c r="G32"/>
  <c r="I32" s="1"/>
  <c r="G78"/>
  <c r="I78" s="1"/>
  <c r="F78"/>
  <c r="G110"/>
  <c r="I110" s="1"/>
  <c r="F110"/>
  <c r="G199"/>
  <c r="F199"/>
  <c r="G157"/>
  <c r="I157" s="1"/>
  <c r="F157"/>
  <c r="G89"/>
  <c r="I89" s="1"/>
  <c r="G22"/>
  <c r="I22" s="1"/>
  <c r="F22"/>
  <c r="G206"/>
  <c r="F103"/>
  <c r="G103"/>
  <c r="I103" s="1"/>
  <c r="G120"/>
  <c r="I120" s="1"/>
  <c r="G99"/>
  <c r="I99" s="1"/>
  <c r="F99"/>
  <c r="F120"/>
  <c r="F19"/>
  <c r="G19"/>
  <c r="I19" s="1"/>
  <c r="F20"/>
  <c r="G20"/>
  <c r="I20" s="1"/>
  <c r="F16"/>
  <c r="G16"/>
  <c r="I16" s="1"/>
  <c r="F13"/>
  <c r="G13"/>
  <c r="F152"/>
  <c r="G152"/>
  <c r="F126"/>
  <c r="G126"/>
  <c r="I126" s="1"/>
  <c r="F96"/>
  <c r="G96"/>
  <c r="I96" s="1"/>
  <c r="G205" l="1"/>
  <c r="I205" s="1"/>
  <c r="I206"/>
  <c r="G151"/>
  <c r="I151" s="1"/>
  <c r="I152"/>
  <c r="G198"/>
  <c r="I198" s="1"/>
  <c r="I199"/>
  <c r="G12"/>
  <c r="I12" s="1"/>
  <c r="I13"/>
  <c r="G18"/>
  <c r="I18" s="1"/>
  <c r="F18"/>
  <c r="F151"/>
  <c r="F129"/>
  <c r="F12"/>
  <c r="G150"/>
  <c r="I150" s="1"/>
  <c r="F98"/>
  <c r="G98"/>
  <c r="I98" s="1"/>
  <c r="F198"/>
  <c r="F15"/>
  <c r="G15"/>
  <c r="I15" s="1"/>
  <c r="G180"/>
  <c r="G191"/>
  <c r="G645" i="1"/>
  <c r="H645"/>
  <c r="H647"/>
  <c r="G649"/>
  <c r="H649"/>
  <c r="G652"/>
  <c r="G651" s="1"/>
  <c r="H652"/>
  <c r="H651" s="1"/>
  <c r="G655"/>
  <c r="G654" s="1"/>
  <c r="H655"/>
  <c r="H654" s="1"/>
  <c r="G658"/>
  <c r="G657" s="1"/>
  <c r="H658"/>
  <c r="H657" s="1"/>
  <c r="H631"/>
  <c r="H629"/>
  <c r="H627"/>
  <c r="H585"/>
  <c r="H584" s="1"/>
  <c r="H604"/>
  <c r="H602"/>
  <c r="H600"/>
  <c r="G500"/>
  <c r="H500"/>
  <c r="G496"/>
  <c r="H496"/>
  <c r="G494"/>
  <c r="H494"/>
  <c r="H521"/>
  <c r="H510"/>
  <c r="H508"/>
  <c r="H436"/>
  <c r="H435" s="1"/>
  <c r="H439"/>
  <c r="H438" s="1"/>
  <c r="H370"/>
  <c r="G374"/>
  <c r="H374"/>
  <c r="G353"/>
  <c r="H353"/>
  <c r="G355"/>
  <c r="H355"/>
  <c r="G357"/>
  <c r="H357"/>
  <c r="G360"/>
  <c r="H360"/>
  <c r="G362"/>
  <c r="H362"/>
  <c r="H338"/>
  <c r="F140" i="2"/>
  <c r="G340" i="1"/>
  <c r="H340"/>
  <c r="G342"/>
  <c r="G281"/>
  <c r="H281"/>
  <c r="H278" s="1"/>
  <c r="G279"/>
  <c r="G270"/>
  <c r="H270"/>
  <c r="H228"/>
  <c r="H227" s="1"/>
  <c r="G222"/>
  <c r="G221" s="1"/>
  <c r="H221"/>
  <c r="H217"/>
  <c r="H216" s="1"/>
  <c r="G211"/>
  <c r="H211"/>
  <c r="G209"/>
  <c r="H209"/>
  <c r="G202"/>
  <c r="G201" s="1"/>
  <c r="F149" i="2" s="1"/>
  <c r="H202" i="1"/>
  <c r="H201" s="1"/>
  <c r="G149" i="2" s="1"/>
  <c r="I149" s="1"/>
  <c r="G199" i="1"/>
  <c r="G198" s="1"/>
  <c r="F148" i="2" s="1"/>
  <c r="H199" i="1"/>
  <c r="H198" s="1"/>
  <c r="G148" i="2" s="1"/>
  <c r="I148" s="1"/>
  <c r="G196" i="1"/>
  <c r="G195" s="1"/>
  <c r="H196"/>
  <c r="H195" s="1"/>
  <c r="G147" i="2" s="1"/>
  <c r="I147" s="1"/>
  <c r="G192" i="1"/>
  <c r="G191" s="1"/>
  <c r="G190" s="1"/>
  <c r="H192"/>
  <c r="H191" s="1"/>
  <c r="H190" s="1"/>
  <c r="G185"/>
  <c r="H185"/>
  <c r="G183"/>
  <c r="H183"/>
  <c r="G179"/>
  <c r="G178" s="1"/>
  <c r="G177" s="1"/>
  <c r="H178"/>
  <c r="H177" s="1"/>
  <c r="G174"/>
  <c r="G173" s="1"/>
  <c r="H174"/>
  <c r="H173" s="1"/>
  <c r="G171"/>
  <c r="G170" s="1"/>
  <c r="H171"/>
  <c r="H170" s="1"/>
  <c r="G168"/>
  <c r="G167" s="1"/>
  <c r="H168"/>
  <c r="H167" s="1"/>
  <c r="G165"/>
  <c r="G164" s="1"/>
  <c r="H165"/>
  <c r="H164" s="1"/>
  <c r="G162"/>
  <c r="H162"/>
  <c r="G160"/>
  <c r="H160"/>
  <c r="G157"/>
  <c r="G155"/>
  <c r="G149"/>
  <c r="G148" s="1"/>
  <c r="G147" s="1"/>
  <c r="H149"/>
  <c r="H148" s="1"/>
  <c r="H143"/>
  <c r="H142" s="1"/>
  <c r="G137"/>
  <c r="G136" s="1"/>
  <c r="G134"/>
  <c r="G132"/>
  <c r="G130"/>
  <c r="G124"/>
  <c r="G123" s="1"/>
  <c r="G122" s="1"/>
  <c r="G121" s="1"/>
  <c r="G120" s="1"/>
  <c r="D12" i="3" s="1"/>
  <c r="E12"/>
  <c r="G323" i="1"/>
  <c r="H323"/>
  <c r="G321"/>
  <c r="H321"/>
  <c r="G318"/>
  <c r="G317" s="1"/>
  <c r="H318"/>
  <c r="H317" s="1"/>
  <c r="G308"/>
  <c r="H308"/>
  <c r="G306"/>
  <c r="H306"/>
  <c r="G300"/>
  <c r="G299" s="1"/>
  <c r="G298" s="1"/>
  <c r="G297" s="1"/>
  <c r="G296" s="1"/>
  <c r="G288"/>
  <c r="G287" s="1"/>
  <c r="G286" s="1"/>
  <c r="G285" s="1"/>
  <c r="G284" s="1"/>
  <c r="G263"/>
  <c r="G262" s="1"/>
  <c r="H263"/>
  <c r="H262" s="1"/>
  <c r="G260"/>
  <c r="G259" s="1"/>
  <c r="H260"/>
  <c r="H259" s="1"/>
  <c r="G252"/>
  <c r="H252"/>
  <c r="G234"/>
  <c r="G233" s="1"/>
  <c r="H234"/>
  <c r="H233" s="1"/>
  <c r="G190" i="2" l="1"/>
  <c r="I190" s="1"/>
  <c r="I191"/>
  <c r="G179"/>
  <c r="I179" s="1"/>
  <c r="I180"/>
  <c r="F150"/>
  <c r="H226" i="1"/>
  <c r="H225"/>
  <c r="H224" s="1"/>
  <c r="G493"/>
  <c r="G492" s="1"/>
  <c r="H493"/>
  <c r="H492" s="1"/>
  <c r="H215"/>
  <c r="H214" s="1"/>
  <c r="H213" s="1"/>
  <c r="G232"/>
  <c r="G231" s="1"/>
  <c r="G230" s="1"/>
  <c r="H232"/>
  <c r="H231" s="1"/>
  <c r="H230" s="1"/>
  <c r="E29" i="3" s="1"/>
  <c r="G251" i="1"/>
  <c r="G250" s="1"/>
  <c r="G249" s="1"/>
  <c r="G248" s="1"/>
  <c r="D31" i="3" s="1"/>
  <c r="H251" i="1"/>
  <c r="H250" s="1"/>
  <c r="H249" s="1"/>
  <c r="H248" s="1"/>
  <c r="E31" i="3" s="1"/>
  <c r="G278" i="1"/>
  <c r="G277" s="1"/>
  <c r="G276" s="1"/>
  <c r="G275" s="1"/>
  <c r="G274" s="1"/>
  <c r="H644"/>
  <c r="H643" s="1"/>
  <c r="H642" s="1"/>
  <c r="H641" s="1"/>
  <c r="H626"/>
  <c r="G320"/>
  <c r="G316" s="1"/>
  <c r="G315" s="1"/>
  <c r="H277"/>
  <c r="H276" s="1"/>
  <c r="H275" s="1"/>
  <c r="H274" s="1"/>
  <c r="G129"/>
  <c r="G128" s="1"/>
  <c r="G359"/>
  <c r="G11" i="2"/>
  <c r="I11" s="1"/>
  <c r="G146"/>
  <c r="I146" s="1"/>
  <c r="F143"/>
  <c r="H359" i="1"/>
  <c r="H272"/>
  <c r="H269" s="1"/>
  <c r="H268" s="1"/>
  <c r="H267" s="1"/>
  <c r="H266" s="1"/>
  <c r="H265" s="1"/>
  <c r="G338"/>
  <c r="G337" s="1"/>
  <c r="H320"/>
  <c r="H316" s="1"/>
  <c r="H315" s="1"/>
  <c r="G194"/>
  <c r="F147" i="2"/>
  <c r="G175"/>
  <c r="H352" i="1"/>
  <c r="H300"/>
  <c r="H299" s="1"/>
  <c r="H298" s="1"/>
  <c r="H297" s="1"/>
  <c r="H296" s="1"/>
  <c r="G184" i="2"/>
  <c r="I184" s="1"/>
  <c r="G143"/>
  <c r="I143" s="1"/>
  <c r="G352" i="1"/>
  <c r="F11" i="2"/>
  <c r="H194" i="1"/>
  <c r="G305"/>
  <c r="H507"/>
  <c r="H599"/>
  <c r="H598" s="1"/>
  <c r="H597" s="1"/>
  <c r="H208"/>
  <c r="H207" s="1"/>
  <c r="H206" s="1"/>
  <c r="H205" s="1"/>
  <c r="G208"/>
  <c r="G207" s="1"/>
  <c r="G206" s="1"/>
  <c r="G205" s="1"/>
  <c r="H182"/>
  <c r="H181" s="1"/>
  <c r="H176" s="1"/>
  <c r="G182"/>
  <c r="G181" s="1"/>
  <c r="G176" s="1"/>
  <c r="H159"/>
  <c r="H153" s="1"/>
  <c r="H152" s="1"/>
  <c r="G159"/>
  <c r="G154"/>
  <c r="H147"/>
  <c r="H146"/>
  <c r="H145" s="1"/>
  <c r="G146"/>
  <c r="G145" s="1"/>
  <c r="H141"/>
  <c r="H140"/>
  <c r="H139" s="1"/>
  <c r="H305"/>
  <c r="G258"/>
  <c r="G257" s="1"/>
  <c r="H258"/>
  <c r="H257" s="1"/>
  <c r="G174" i="2" l="1"/>
  <c r="I174" s="1"/>
  <c r="I175"/>
  <c r="G183"/>
  <c r="I183" s="1"/>
  <c r="F146"/>
  <c r="G256" i="1"/>
  <c r="G247" s="1"/>
  <c r="H256"/>
  <c r="H247" s="1"/>
  <c r="H151"/>
  <c r="H119" s="1"/>
  <c r="H204"/>
  <c r="H625"/>
  <c r="H624" s="1"/>
  <c r="H623" s="1"/>
  <c r="H622" s="1"/>
  <c r="H621" s="1"/>
  <c r="G351"/>
  <c r="H351"/>
  <c r="G127"/>
  <c r="G126" s="1"/>
  <c r="D14" i="3" s="1"/>
  <c r="E14"/>
  <c r="H491" i="1"/>
  <c r="H490" s="1"/>
  <c r="G491"/>
  <c r="G490" s="1"/>
  <c r="H596"/>
  <c r="E46" i="3" s="1"/>
  <c r="G153" i="1"/>
  <c r="G152" s="1"/>
  <c r="G151" s="1"/>
  <c r="H304"/>
  <c r="H303" s="1"/>
  <c r="G304"/>
  <c r="G303" s="1"/>
  <c r="H189"/>
  <c r="H188" s="1"/>
  <c r="H187" s="1"/>
  <c r="G189"/>
  <c r="G188" s="1"/>
  <c r="G187" s="1"/>
  <c r="H640"/>
  <c r="H639" s="1"/>
  <c r="E13" i="3"/>
  <c r="G76" i="2"/>
  <c r="I76" s="1"/>
  <c r="G485" i="1"/>
  <c r="G73" i="2"/>
  <c r="I73" s="1"/>
  <c r="G71" l="1"/>
  <c r="I71" s="1"/>
  <c r="H302" i="1"/>
  <c r="G302"/>
  <c r="D51" i="3" s="1"/>
  <c r="G480" i="1"/>
  <c r="G476" s="1"/>
  <c r="E51" i="3" l="1"/>
  <c r="G545" i="1"/>
  <c r="G544" s="1"/>
  <c r="F95" i="2" s="1"/>
  <c r="F68"/>
  <c r="F59"/>
  <c r="F57"/>
  <c r="F54"/>
  <c r="F93" l="1"/>
  <c r="G272" i="1"/>
  <c r="G269" s="1"/>
  <c r="G268" s="1"/>
  <c r="G267" s="1"/>
  <c r="G266" s="1"/>
  <c r="G265" s="1"/>
  <c r="G294"/>
  <c r="G293" s="1"/>
  <c r="G292" s="1"/>
  <c r="G291" s="1"/>
  <c r="G290" s="1"/>
  <c r="G283" s="1"/>
  <c r="F175" i="2"/>
  <c r="F212"/>
  <c r="F244"/>
  <c r="G243"/>
  <c r="F243"/>
  <c r="F72"/>
  <c r="H529" i="1"/>
  <c r="H528" s="1"/>
  <c r="F33" i="2"/>
  <c r="F29"/>
  <c r="F30"/>
  <c r="G372" i="1"/>
  <c r="H372"/>
  <c r="F193" i="2"/>
  <c r="C56"/>
  <c r="G436" i="1"/>
  <c r="G435" s="1"/>
  <c r="C226" i="2"/>
  <c r="C182"/>
  <c r="G168"/>
  <c r="F168"/>
  <c r="F236"/>
  <c r="C70"/>
  <c r="G513" i="1"/>
  <c r="G512" s="1"/>
  <c r="F70" i="2" s="1"/>
  <c r="H513" i="1"/>
  <c r="C245" i="2"/>
  <c r="G91" i="1"/>
  <c r="G90" s="1"/>
  <c r="G89" s="1"/>
  <c r="G88" s="1"/>
  <c r="G87" s="1"/>
  <c r="D56" i="3" s="1"/>
  <c r="D55" s="1"/>
  <c r="H91" i="1"/>
  <c r="H90" s="1"/>
  <c r="H89" s="1"/>
  <c r="H88" s="1"/>
  <c r="H87" s="1"/>
  <c r="E56" i="3" s="1"/>
  <c r="E55" s="1"/>
  <c r="C123" i="2"/>
  <c r="C122"/>
  <c r="C121"/>
  <c r="H288" i="1"/>
  <c r="H287" s="1"/>
  <c r="H286" s="1"/>
  <c r="H285" s="1"/>
  <c r="H284" s="1"/>
  <c r="H283" s="1"/>
  <c r="H118" s="1"/>
  <c r="F180" i="2"/>
  <c r="C180"/>
  <c r="C225"/>
  <c r="C221"/>
  <c r="C152"/>
  <c r="C211"/>
  <c r="C108"/>
  <c r="G27" i="1"/>
  <c r="G26" s="1"/>
  <c r="H27"/>
  <c r="H26" s="1"/>
  <c r="C59" i="2"/>
  <c r="G451" i="1"/>
  <c r="G450" s="1"/>
  <c r="H451"/>
  <c r="H450" s="1"/>
  <c r="F61" i="2"/>
  <c r="C42"/>
  <c r="G585" i="1"/>
  <c r="G584" s="1"/>
  <c r="C196" i="2"/>
  <c r="C195"/>
  <c r="C239"/>
  <c r="G239"/>
  <c r="I239" s="1"/>
  <c r="G379" i="1"/>
  <c r="G376" s="1"/>
  <c r="G631"/>
  <c r="G619"/>
  <c r="G618" s="1"/>
  <c r="G617" s="1"/>
  <c r="H619"/>
  <c r="H618" s="1"/>
  <c r="H617" s="1"/>
  <c r="G549"/>
  <c r="G548" s="1"/>
  <c r="G547" s="1"/>
  <c r="H549"/>
  <c r="H548" s="1"/>
  <c r="H547" s="1"/>
  <c r="H545" s="1"/>
  <c r="G542"/>
  <c r="G541" s="1"/>
  <c r="G540" s="1"/>
  <c r="H542"/>
  <c r="H541" s="1"/>
  <c r="G508"/>
  <c r="C164" i="2"/>
  <c r="F125"/>
  <c r="G125"/>
  <c r="I125" s="1"/>
  <c r="G576" i="1"/>
  <c r="G575" s="1"/>
  <c r="H576"/>
  <c r="H575" s="1"/>
  <c r="H574" s="1"/>
  <c r="G345"/>
  <c r="G344" s="1"/>
  <c r="H345"/>
  <c r="H344" s="1"/>
  <c r="G145" i="2" s="1"/>
  <c r="I145" s="1"/>
  <c r="G60" i="1"/>
  <c r="G59" s="1"/>
  <c r="G58" s="1"/>
  <c r="C13" i="2"/>
  <c r="G615" i="1"/>
  <c r="G614" s="1"/>
  <c r="G613" s="1"/>
  <c r="H615"/>
  <c r="H614" s="1"/>
  <c r="H613" s="1"/>
  <c r="E15" i="3"/>
  <c r="C184" i="2"/>
  <c r="G391" i="1"/>
  <c r="C57" i="2"/>
  <c r="G439" i="1"/>
  <c r="G438" s="1"/>
  <c r="G413"/>
  <c r="C23" i="2"/>
  <c r="G604" i="1"/>
  <c r="G602"/>
  <c r="G407"/>
  <c r="G406" s="1"/>
  <c r="H407"/>
  <c r="H406" s="1"/>
  <c r="G389"/>
  <c r="G387"/>
  <c r="G232" i="2"/>
  <c r="I232" s="1"/>
  <c r="C86"/>
  <c r="C84"/>
  <c r="C79"/>
  <c r="C72"/>
  <c r="C68"/>
  <c r="C60"/>
  <c r="C58"/>
  <c r="C54"/>
  <c r="C51"/>
  <c r="C50"/>
  <c r="C49"/>
  <c r="C48"/>
  <c r="G510" i="1"/>
  <c r="G521"/>
  <c r="G519"/>
  <c r="H519"/>
  <c r="H518" s="1"/>
  <c r="H517" s="1"/>
  <c r="H516" s="1"/>
  <c r="H515" s="1"/>
  <c r="E50" i="3" s="1"/>
  <c r="G454" i="1"/>
  <c r="G453" s="1"/>
  <c r="H454"/>
  <c r="H453" s="1"/>
  <c r="G442"/>
  <c r="G441" s="1"/>
  <c r="H442"/>
  <c r="H441" s="1"/>
  <c r="G430"/>
  <c r="G429" s="1"/>
  <c r="H430"/>
  <c r="H429" s="1"/>
  <c r="G419"/>
  <c r="G418" s="1"/>
  <c r="H419"/>
  <c r="H418" s="1"/>
  <c r="G416"/>
  <c r="G415" s="1"/>
  <c r="H416"/>
  <c r="H415" s="1"/>
  <c r="H413" s="1"/>
  <c r="D17" i="3"/>
  <c r="E17"/>
  <c r="C175" i="2"/>
  <c r="C188"/>
  <c r="C162"/>
  <c r="C140"/>
  <c r="C137"/>
  <c r="C136"/>
  <c r="C104"/>
  <c r="C102"/>
  <c r="C101"/>
  <c r="C100"/>
  <c r="C33"/>
  <c r="C37"/>
  <c r="C30"/>
  <c r="C29"/>
  <c r="C26"/>
  <c r="C20"/>
  <c r="C19"/>
  <c r="C18"/>
  <c r="C17"/>
  <c r="H538" i="1"/>
  <c r="H537" s="1"/>
  <c r="G629"/>
  <c r="G627"/>
  <c r="G600"/>
  <c r="H569"/>
  <c r="G566"/>
  <c r="G565" s="1"/>
  <c r="H566"/>
  <c r="H565" s="1"/>
  <c r="G535"/>
  <c r="G534" s="1"/>
  <c r="H535"/>
  <c r="H534" s="1"/>
  <c r="G559"/>
  <c r="G558" s="1"/>
  <c r="H559"/>
  <c r="G556"/>
  <c r="G555" s="1"/>
  <c r="H556"/>
  <c r="H555" s="1"/>
  <c r="G529"/>
  <c r="G528" s="1"/>
  <c r="D29" i="3"/>
  <c r="G399" i="1"/>
  <c r="G398" s="1"/>
  <c r="G396"/>
  <c r="G395" s="1"/>
  <c r="H396"/>
  <c r="H395" s="1"/>
  <c r="G107"/>
  <c r="G106" s="1"/>
  <c r="G105" s="1"/>
  <c r="G104" s="1"/>
  <c r="G103" s="1"/>
  <c r="H107"/>
  <c r="H106" s="1"/>
  <c r="H105" s="1"/>
  <c r="H104" s="1"/>
  <c r="H103" s="1"/>
  <c r="G101"/>
  <c r="G100" s="1"/>
  <c r="H101"/>
  <c r="H100" s="1"/>
  <c r="G98"/>
  <c r="G97" s="1"/>
  <c r="H98"/>
  <c r="H97" s="1"/>
  <c r="G54"/>
  <c r="G53" s="1"/>
  <c r="G52" s="1"/>
  <c r="G51" s="1"/>
  <c r="G50" s="1"/>
  <c r="H54"/>
  <c r="H53" s="1"/>
  <c r="H52" s="1"/>
  <c r="H51" s="1"/>
  <c r="H50" s="1"/>
  <c r="H40"/>
  <c r="H39" s="1"/>
  <c r="H36" s="1"/>
  <c r="H35" s="1"/>
  <c r="G21"/>
  <c r="H21"/>
  <c r="G19"/>
  <c r="G33"/>
  <c r="G32" s="1"/>
  <c r="G31" s="1"/>
  <c r="H33"/>
  <c r="H32" s="1"/>
  <c r="H30" s="1"/>
  <c r="H29" s="1"/>
  <c r="G167" i="2" l="1"/>
  <c r="I167" s="1"/>
  <c r="I168"/>
  <c r="G242"/>
  <c r="I242" s="1"/>
  <c r="I243"/>
  <c r="F28"/>
  <c r="G235"/>
  <c r="I235" s="1"/>
  <c r="F174"/>
  <c r="F71"/>
  <c r="F206"/>
  <c r="F179"/>
  <c r="F167"/>
  <c r="F235"/>
  <c r="F32"/>
  <c r="F53"/>
  <c r="G428" i="1"/>
  <c r="H428"/>
  <c r="H427" s="1"/>
  <c r="H426" s="1"/>
  <c r="H558"/>
  <c r="H554" s="1"/>
  <c r="G554"/>
  <c r="G574"/>
  <c r="G336"/>
  <c r="G335" s="1"/>
  <c r="G334" s="1"/>
  <c r="D22" i="3" s="1"/>
  <c r="F145" i="2"/>
  <c r="H533" i="1"/>
  <c r="F242" i="2"/>
  <c r="G57" i="1"/>
  <c r="G56" s="1"/>
  <c r="E59" i="3"/>
  <c r="D59"/>
  <c r="G526" i="1"/>
  <c r="G525" s="1"/>
  <c r="H526"/>
  <c r="H525" s="1"/>
  <c r="D15" i="3"/>
  <c r="G626" i="1"/>
  <c r="G40"/>
  <c r="G39" s="1"/>
  <c r="G38" s="1"/>
  <c r="G234" i="2"/>
  <c r="I234" s="1"/>
  <c r="H391" i="1"/>
  <c r="G233" i="2"/>
  <c r="I233" s="1"/>
  <c r="H389" i="1"/>
  <c r="H612"/>
  <c r="H611" s="1"/>
  <c r="E53" i="3" s="1"/>
  <c r="E52" s="1"/>
  <c r="G538" i="1"/>
  <c r="G537" s="1"/>
  <c r="G533" s="1"/>
  <c r="F92" i="2"/>
  <c r="H342" i="1"/>
  <c r="H337" s="1"/>
  <c r="H336" s="1"/>
  <c r="G142" i="2"/>
  <c r="F109"/>
  <c r="G412" i="1"/>
  <c r="G405" s="1"/>
  <c r="F191" i="2"/>
  <c r="G647" i="1"/>
  <c r="G228"/>
  <c r="G227" s="1"/>
  <c r="G225" s="1"/>
  <c r="G370"/>
  <c r="G369" s="1"/>
  <c r="G368" s="1"/>
  <c r="H369"/>
  <c r="H368" s="1"/>
  <c r="G143"/>
  <c r="G142" s="1"/>
  <c r="H568"/>
  <c r="H564" s="1"/>
  <c r="H544"/>
  <c r="G95" i="2" s="1"/>
  <c r="I95" s="1"/>
  <c r="H512" i="1"/>
  <c r="G70" i="2" s="1"/>
  <c r="H412" i="1"/>
  <c r="H405" s="1"/>
  <c r="H404" s="1"/>
  <c r="H403" s="1"/>
  <c r="G599"/>
  <c r="G598" s="1"/>
  <c r="G597" s="1"/>
  <c r="G507"/>
  <c r="G506" s="1"/>
  <c r="G505" s="1"/>
  <c r="G504" s="1"/>
  <c r="D49" i="3" s="1"/>
  <c r="G569" i="1"/>
  <c r="G568" s="1"/>
  <c r="G564" s="1"/>
  <c r="H60"/>
  <c r="H59" s="1"/>
  <c r="H58" s="1"/>
  <c r="G474"/>
  <c r="G473" s="1"/>
  <c r="G472" s="1"/>
  <c r="G518"/>
  <c r="G517" s="1"/>
  <c r="G516" s="1"/>
  <c r="G515" s="1"/>
  <c r="D50" i="3" s="1"/>
  <c r="G129" i="2"/>
  <c r="I129" s="1"/>
  <c r="G18" i="1"/>
  <c r="G17" s="1"/>
  <c r="D32" i="3"/>
  <c r="G612" i="1"/>
  <c r="G611" s="1"/>
  <c r="H474"/>
  <c r="H473" s="1"/>
  <c r="H472" s="1"/>
  <c r="H18"/>
  <c r="H17" s="1"/>
  <c r="G350"/>
  <c r="G349" s="1"/>
  <c r="G348" s="1"/>
  <c r="G347" s="1"/>
  <c r="G386"/>
  <c r="G385" s="1"/>
  <c r="G384" s="1"/>
  <c r="F187" i="2"/>
  <c r="G394" i="1"/>
  <c r="G393" s="1"/>
  <c r="E32" i="3"/>
  <c r="G187" i="2"/>
  <c r="G160"/>
  <c r="I160" s="1"/>
  <c r="F231"/>
  <c r="G241"/>
  <c r="I241" s="1"/>
  <c r="E20" i="3"/>
  <c r="E19" s="1"/>
  <c r="H31" i="1"/>
  <c r="D24" i="3"/>
  <c r="E36"/>
  <c r="E35" s="1"/>
  <c r="H86" i="1"/>
  <c r="H96"/>
  <c r="H95" s="1"/>
  <c r="H94" s="1"/>
  <c r="E58" i="3" s="1"/>
  <c r="E24"/>
  <c r="G96" i="1"/>
  <c r="G95" s="1"/>
  <c r="G94" s="1"/>
  <c r="D58" i="3" s="1"/>
  <c r="G30" i="1"/>
  <c r="G29" s="1"/>
  <c r="E25" i="3"/>
  <c r="H37" i="1"/>
  <c r="H38"/>
  <c r="E48" i="3"/>
  <c r="G86" i="1"/>
  <c r="D48" i="3"/>
  <c r="G53" i="2" l="1"/>
  <c r="I53" s="1"/>
  <c r="I70"/>
  <c r="G172"/>
  <c r="I172" s="1"/>
  <c r="I187"/>
  <c r="I142"/>
  <c r="G139"/>
  <c r="I139" s="1"/>
  <c r="F205"/>
  <c r="F89"/>
  <c r="F227"/>
  <c r="G93"/>
  <c r="I93" s="1"/>
  <c r="F241"/>
  <c r="F190"/>
  <c r="G138"/>
  <c r="I138" s="1"/>
  <c r="F139"/>
  <c r="G625" i="1"/>
  <c r="G624" s="1"/>
  <c r="G623" s="1"/>
  <c r="G622" s="1"/>
  <c r="G49" i="2"/>
  <c r="G226" i="1"/>
  <c r="G224"/>
  <c r="G532"/>
  <c r="G531" s="1"/>
  <c r="G644"/>
  <c r="G643" s="1"/>
  <c r="G642" s="1"/>
  <c r="G641" s="1"/>
  <c r="F49" i="2"/>
  <c r="G404" i="1"/>
  <c r="G16"/>
  <c r="G15" s="1"/>
  <c r="G14" s="1"/>
  <c r="H16"/>
  <c r="H15" s="1"/>
  <c r="H57"/>
  <c r="H56" s="1"/>
  <c r="H49" s="1"/>
  <c r="E57" i="3"/>
  <c r="D57"/>
  <c r="E30"/>
  <c r="G596" i="1"/>
  <c r="D46" i="3" s="1"/>
  <c r="G427" i="1"/>
  <c r="G426" s="1"/>
  <c r="G37"/>
  <c r="G36"/>
  <c r="D20" i="3" s="1"/>
  <c r="D19" s="1"/>
  <c r="F17" i="2"/>
  <c r="H540" i="1"/>
  <c r="H532" s="1"/>
  <c r="H531" s="1"/>
  <c r="H610"/>
  <c r="G231" i="2"/>
  <c r="F172"/>
  <c r="H386" i="1"/>
  <c r="H385" s="1"/>
  <c r="H384" s="1"/>
  <c r="G610"/>
  <c r="D53" i="3"/>
  <c r="D52" s="1"/>
  <c r="D21"/>
  <c r="H553" i="1"/>
  <c r="H367"/>
  <c r="H366" s="1"/>
  <c r="H365" s="1"/>
  <c r="H364" s="1"/>
  <c r="G367"/>
  <c r="G366" s="1"/>
  <c r="G365" s="1"/>
  <c r="G364" s="1"/>
  <c r="G141"/>
  <c r="G140"/>
  <c r="G139" s="1"/>
  <c r="G119" s="1"/>
  <c r="H506"/>
  <c r="H505" s="1"/>
  <c r="H504" s="1"/>
  <c r="H471"/>
  <c r="H335"/>
  <c r="D36" i="3"/>
  <c r="D35" s="1"/>
  <c r="G471" i="1"/>
  <c r="G470" s="1"/>
  <c r="D41" i="3" s="1"/>
  <c r="G503" i="1"/>
  <c r="D43" i="3"/>
  <c r="D47"/>
  <c r="G333" i="1"/>
  <c r="G332" s="1"/>
  <c r="G553"/>
  <c r="G552" s="1"/>
  <c r="D45" i="3" s="1"/>
  <c r="H350" i="1"/>
  <c r="H349" s="1"/>
  <c r="G383"/>
  <c r="G382" s="1"/>
  <c r="G381" s="1"/>
  <c r="G93"/>
  <c r="H93"/>
  <c r="G49"/>
  <c r="D25" i="3"/>
  <c r="G227" i="2" l="1"/>
  <c r="I227" s="1"/>
  <c r="I231"/>
  <c r="G47"/>
  <c r="I47" s="1"/>
  <c r="I49"/>
  <c r="F88"/>
  <c r="F47"/>
  <c r="F46" s="1"/>
  <c r="F138"/>
  <c r="G88"/>
  <c r="I88" s="1"/>
  <c r="H552" i="1"/>
  <c r="G403"/>
  <c r="D39" i="3" s="1"/>
  <c r="D40"/>
  <c r="D42"/>
  <c r="G524" i="1"/>
  <c r="D13" i="3"/>
  <c r="G640" i="1"/>
  <c r="G639" s="1"/>
  <c r="H14"/>
  <c r="H13" s="1"/>
  <c r="E16" i="3"/>
  <c r="D44"/>
  <c r="G35" i="1"/>
  <c r="G13" s="1"/>
  <c r="G17" i="2"/>
  <c r="I17" s="1"/>
  <c r="D27" i="3"/>
  <c r="H524" i="1"/>
  <c r="D30" i="3"/>
  <c r="G621" i="1"/>
  <c r="D16" i="3"/>
  <c r="H348" i="1"/>
  <c r="H347" s="1"/>
  <c r="H503"/>
  <c r="E49" i="3"/>
  <c r="E47" s="1"/>
  <c r="H551" i="1"/>
  <c r="E45" i="3"/>
  <c r="E44" s="1"/>
  <c r="D18"/>
  <c r="H470" i="1"/>
  <c r="H402" s="1"/>
  <c r="H334"/>
  <c r="E22" i="3" s="1"/>
  <c r="E26"/>
  <c r="E27"/>
  <c r="G551" i="1"/>
  <c r="G402" l="1"/>
  <c r="G401" s="1"/>
  <c r="D38" i="3"/>
  <c r="H523" i="1"/>
  <c r="G523"/>
  <c r="D11" i="3"/>
  <c r="H333" i="1"/>
  <c r="H332" s="1"/>
  <c r="E21" i="3"/>
  <c r="G46" i="2"/>
  <c r="I46" s="1"/>
  <c r="E38" i="3"/>
  <c r="H399" i="1"/>
  <c r="H398" s="1"/>
  <c r="H394" s="1"/>
  <c r="H393" s="1"/>
  <c r="H383" s="1"/>
  <c r="H382" s="1"/>
  <c r="H381" s="1"/>
  <c r="E23" i="3"/>
  <c r="H401" i="1" l="1"/>
  <c r="H660" s="1"/>
  <c r="H663" s="1"/>
  <c r="E18" i="3" l="1"/>
  <c r="E11" s="1"/>
  <c r="E60" s="1"/>
  <c r="G109" i="2"/>
  <c r="I109" s="1"/>
  <c r="G246" l="1"/>
  <c r="I246" s="1"/>
  <c r="G248" l="1"/>
  <c r="F162"/>
  <c r="G217" i="1"/>
  <c r="F161" i="2" l="1"/>
  <c r="G216" i="1"/>
  <c r="G215" s="1"/>
  <c r="G214" s="1"/>
  <c r="G213" s="1"/>
  <c r="F160" i="2" l="1"/>
  <c r="D26" i="3"/>
  <c r="D23" s="1"/>
  <c r="D60" s="1"/>
  <c r="G204" i="1"/>
  <c r="G118" s="1"/>
  <c r="G660" s="1"/>
  <c r="G663" s="1"/>
  <c r="F246" i="2" l="1"/>
  <c r="F248" l="1"/>
</calcChain>
</file>

<file path=xl/sharedStrings.xml><?xml version="1.0" encoding="utf-8"?>
<sst xmlns="http://schemas.openxmlformats.org/spreadsheetml/2006/main" count="2719" uniqueCount="565">
  <si>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</si>
  <si>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</si>
  <si>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</si>
  <si>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</si>
  <si>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</si>
  <si>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</si>
  <si>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</si>
  <si>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</si>
  <si>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</si>
  <si>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</si>
  <si>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</si>
  <si>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</si>
  <si>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</si>
  <si>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</si>
  <si>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</si>
  <si>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</si>
  <si>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</si>
  <si>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</si>
  <si>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</si>
  <si>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</si>
  <si>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</si>
  <si>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Мобилизационная и вневойсковая подготовка</t>
  </si>
  <si>
    <t>Непрограммные расходы отдельных органов исполнительной власти</t>
  </si>
  <si>
    <t>Общеэкономические вопросы</t>
  </si>
  <si>
    <t>Иные 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</si>
  <si>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</si>
  <si>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</si>
  <si>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Дотации</t>
  </si>
  <si>
    <t>Прочие межбюджетные трансферты общего характера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</si>
  <si>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</si>
  <si>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</si>
  <si>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</si>
  <si>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</si>
  <si>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</si>
  <si>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</si>
  <si>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</si>
  <si>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</si>
  <si>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</si>
  <si>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Отдельное мероприятие программы</t>
  </si>
  <si>
    <t>Транспорт</t>
  </si>
  <si>
    <t>Сельское хозяйство и рыболовство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</si>
  <si>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</si>
  <si>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Муниципальная программа "Развитие транспортной системы в Мотыгинском районе"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</si>
  <si>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</si>
  <si>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</si>
  <si>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</si>
  <si>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Другие вопросы в области национальной экономики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</si>
  <si>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</si>
  <si>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</si>
  <si>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</si>
  <si>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</si>
  <si>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</si>
  <si>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</si>
  <si>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</si>
  <si>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</si>
  <si>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0 340000000</t>
  </si>
  <si>
    <t>Муниципальная программа " Обеспечение доступным и комфортным жильем в Мотыгинском районе "</t>
  </si>
  <si>
    <t>Охрана семьи и детства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</si>
  <si>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</si>
  <si>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 xml:space="preserve">Другие общегосударственные вопросы </t>
  </si>
  <si>
    <t>Подпрограмма "Развитие архивного дела в Мотыгинском районе"</t>
  </si>
  <si>
    <t>Обеспечение деятельности архивного фонда в Мотыгинском районе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</si>
  <si>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</si>
  <si>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</si>
  <si>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</si>
  <si>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</si>
  <si>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Субсидии бюджетным учреждениям</t>
  </si>
  <si>
    <t>Культура</t>
  </si>
  <si>
    <t>Подпрограмма "Культурное наследие"</t>
  </si>
  <si>
    <t>Подпрограмма "Искусство и народное творчество"</t>
  </si>
  <si>
    <t>Молодежная политика и оздоровление детей</t>
  </si>
  <si>
    <t>Муниципальная программа "Молодежь Мотыгинского района в ХХ1 веке"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</si>
  <si>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</si>
  <si>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</si>
  <si>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Руководство и управление в сфере установленных функций органов исполнительной власти 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</si>
  <si>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</si>
  <si>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</si>
  <si>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</si>
  <si>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Другие вопросы в области социальной политики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</si>
  <si>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</si>
  <si>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</si>
  <si>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Всего</t>
  </si>
  <si>
    <t>Раздел, подраздел</t>
  </si>
  <si>
    <t>Наименование показателя бюджетной классификации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</si>
  <si>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</si>
  <si>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</si>
  <si>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</si>
  <si>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</si>
  <si>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</si>
  <si>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</si>
  <si>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</si>
  <si>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</si>
  <si>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</si>
  <si>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</si>
  <si>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</si>
  <si>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</si>
  <si>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</si>
  <si>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</si>
  <si>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</si>
  <si>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</si>
  <si>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</si>
  <si>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</si>
  <si>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</si>
  <si>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</si>
  <si>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</si>
  <si>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</si>
  <si>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</si>
  <si>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</si>
  <si>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</si>
  <si>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</si>
  <si>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</si>
  <si>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</si>
  <si>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</si>
  <si>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</si>
  <si>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</si>
  <si>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</si>
  <si>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</si>
  <si>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</si>
  <si>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</si>
  <si>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</si>
  <si>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</si>
  <si>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</si>
  <si>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</si>
  <si>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</si>
  <si>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</si>
  <si>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</si>
  <si>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1003</t>
  </si>
  <si>
    <t>1006</t>
  </si>
  <si>
    <t>1400</t>
  </si>
  <si>
    <t>1401</t>
  </si>
  <si>
    <t>1403</t>
  </si>
  <si>
    <t>ВСЕГО</t>
  </si>
  <si>
    <t/>
  </si>
  <si>
    <t>Подпрограмма "Развитие дошкольного образования"</t>
  </si>
  <si>
    <t>Подпрограмма «Развитие  общего образования»</t>
  </si>
  <si>
    <t>Подпрограмма «Развитие дополнительного образования детей»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</si>
  <si>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</si>
  <si>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Отдельные мероприятия программы</t>
  </si>
  <si>
    <t>Подпрограмма "Безопасность дорожного движения в Мотыгинском районе 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</si>
  <si>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</si>
  <si>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</si>
  <si>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</si>
  <si>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</si>
  <si>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</si>
  <si>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</si>
  <si>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</si>
  <si>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</si>
  <si>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</si>
  <si>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Итого</t>
  </si>
  <si>
    <t>Приложение № 5</t>
  </si>
  <si>
    <t>к решению Мотыгинского районного</t>
  </si>
  <si>
    <t>099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</si>
  <si>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</si>
  <si>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</si>
  <si>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</si>
  <si>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Судебная система</t>
  </si>
  <si>
    <t>Дополнительное образование</t>
  </si>
  <si>
    <t>094</t>
  </si>
  <si>
    <t>0105</t>
  </si>
  <si>
    <t>Дополнительное образование детей</t>
  </si>
  <si>
    <t>Молодежная политика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</si>
  <si>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</si>
  <si>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</t>
  </si>
  <si>
    <t>951</t>
  </si>
  <si>
    <t>1004</t>
  </si>
  <si>
    <t>0703</t>
  </si>
  <si>
    <t>0500000000</t>
  </si>
  <si>
    <t>0520000000</t>
  </si>
  <si>
    <t>0520000210</t>
  </si>
  <si>
    <t>0700000000</t>
  </si>
  <si>
    <t>0710000000</t>
  </si>
  <si>
    <t>0730000000</t>
  </si>
  <si>
    <t>0510000000</t>
  </si>
  <si>
    <t>0510076010</t>
  </si>
  <si>
    <t>0510050010</t>
  </si>
  <si>
    <t>0510050030</t>
  </si>
  <si>
    <t>0600000000</t>
  </si>
  <si>
    <t>0610000000</t>
  </si>
  <si>
    <t>0900000000</t>
  </si>
  <si>
    <t>0790000000</t>
  </si>
  <si>
    <t>0790075770</t>
  </si>
  <si>
    <t>0790075700</t>
  </si>
  <si>
    <t>0300000000</t>
  </si>
  <si>
    <t>0340000000</t>
  </si>
  <si>
    <t>0340075520</t>
  </si>
  <si>
    <t>0800000000</t>
  </si>
  <si>
    <t>0810000000</t>
  </si>
  <si>
    <t>0200000000</t>
  </si>
  <si>
    <t>0220000000</t>
  </si>
  <si>
    <t>0220000610</t>
  </si>
  <si>
    <t>0220075190</t>
  </si>
  <si>
    <t>0620000000</t>
  </si>
  <si>
    <t>0310000000</t>
  </si>
  <si>
    <t>0310000610</t>
  </si>
  <si>
    <t>0310074080</t>
  </si>
  <si>
    <t>0310075880</t>
  </si>
  <si>
    <t>0310075540</t>
  </si>
  <si>
    <t>0320000000</t>
  </si>
  <si>
    <t>0320000610</t>
  </si>
  <si>
    <t>0320074090</t>
  </si>
  <si>
    <t>0320075640</t>
  </si>
  <si>
    <t>0330000000</t>
  </si>
  <si>
    <t>0330000660</t>
  </si>
  <si>
    <t>0340000610</t>
  </si>
  <si>
    <t>0340075560</t>
  </si>
  <si>
    <t>0320075660</t>
  </si>
  <si>
    <t>0240000000</t>
  </si>
  <si>
    <t>0240000610</t>
  </si>
  <si>
    <t>0400000000</t>
  </si>
  <si>
    <t>0420000000</t>
  </si>
  <si>
    <t>0210000000</t>
  </si>
  <si>
    <t>0210000610</t>
  </si>
  <si>
    <t>0210000630</t>
  </si>
  <si>
    <t>0230000000</t>
  </si>
  <si>
    <t>0230000650</t>
  </si>
  <si>
    <t>0230000660</t>
  </si>
  <si>
    <t xml:space="preserve">МУНИЦИПАЛЬНАЯ ПРОГРАММА МОТЫГИНСКОГО РАЙОНА "РАЗВИТИЕ КУЛЬТУРЫ И ТУРИЗМА" </t>
  </si>
  <si>
    <t>МУНИЦИПАЛЬНАЯ ПРОГРАММА МОТЫГИНСКОГО РАЙОНА «РАЗВИТИЕ ОБЩЕГО И ДОПОЛНИТЕЛЬНОГО ОБРАЗОВАНИЯ В МОТЫГИНСКОМ РАЙОНЕ »</t>
  </si>
  <si>
    <t>МУНИЦИПАЛЬНАЯ ПРОГРАММА "МОЛОДЕЖЬ МОТЫГИНСКОГО РАЙОНА В ХХ1 ВЕКЕ"</t>
  </si>
  <si>
    <t xml:space="preserve">МУНИЦИПАЛЬНАЯ ПРОГРАММА МОТЫГИНСКОГО РАЙОНА "УПРАВЛЕНИЕ МУНИЦИПАЛЬНЫМИ ФИНАНСАМИ" </t>
  </si>
  <si>
    <t>МУНИЦИПАЛЬНАЯ ПРОГРАММА "СОДЕЙСТВИЕ РАЗВИТИЮ МЕСТНОГО САМОУПРАВЛЕНИЯ"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</si>
  <si>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</si>
  <si>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</si>
  <si>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"РАЗВИТИЕ ТРАНСПОРТНОЙ СИСТЕМЫ В МОТЫГИНСКОМ РАЙОНЕ".</t>
  </si>
  <si>
    <t>МУНИЦИПАЛЬНАЯ ПРОГРАММА "ОБЕСПЕЧЕНИЕ ДОСТУПНЫМ И КОМФОРТНЫМ ЖИЛЬЕМ ЖИТЕЛЕЙ МОТЫГИНСКОГО РАЙОНА"</t>
  </si>
  <si>
    <t>НЕПРОГРАММНЫЕ РАСХОДЫ ОРГАНОВ ИСПОЛНИТЕЛЬНОЙ ВЛАСТИ</t>
  </si>
  <si>
    <t>ФИНАНСОВО-ЭКОНОМИЧЕСКОЕ УПРАВЛЕНИЕ АДМИНИСТРАЦИИ МОТЫГИНСКОГО РАЙОНА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</si>
  <si>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</si>
  <si>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</si>
  <si>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АДМИНИСТРАЦИЯ МОТЫГИНСКОГО РАЙОНА</t>
  </si>
  <si>
    <t>МУНИЦИПАЛЬНОЕ КАЗЁННОЕ УЧРЕЖДЕНИЕ "ЕДИНАЯ ДЕЖУРНО-ДИСПЕТЧЕРСКАЯ СЛУЖБА" МОТЫГИНСКОГО РАЙОНА</t>
  </si>
  <si>
    <t>МУНИЦИПАЛЬНОЕ КАЗЕННОЕ УЧРЕЖДЕНИЕ "МОТЫГИНСКИЙ РАЙОННЫЙ АРХИВ"</t>
  </si>
  <si>
    <t>МУНИЦИПАЛЬНОЕ КАЗЕННОЕ УЧРЕЖДЕНИЕ "ЦЕНТРАЛИЗОВАННАЯ БУХГАЛТЕРИЯ МУНИЦИПАЛЬНОГО ОБРАЗОВАНИЯ МОТЫГИНСКИЙ РАЙОН"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</si>
  <si>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</si>
  <si>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</si>
  <si>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КОНТРОЛЬНО-СЧЕТНЫЙ ОРГАН МОТЫГИНСКОГО РАЙОНА</t>
  </si>
  <si>
    <t>МОТЫГИНСКИЙ РАЙОННЫЙ СОВЕТ ДЕПУТАТОВ</t>
  </si>
  <si>
    <t>Подпрограмма "Развитие внутреннего и въездного туризма"</t>
  </si>
  <si>
    <t>0250000000</t>
  </si>
  <si>
    <t>0410000000</t>
  </si>
  <si>
    <t>0430000000</t>
  </si>
  <si>
    <t>0720000000</t>
  </si>
  <si>
    <t>Реализация мероприятий на проведение и организацию акарицидных обработок мест массового отдыха населения</t>
  </si>
  <si>
    <t>0320076490</t>
  </si>
  <si>
    <t>Совета депутатов</t>
  </si>
  <si>
    <t>МУНИЦИПАЛЬНАЯ ПРОГРАММА "РАЗВИТИЕ ФИЗИЧЕСКОЙ КУЛЬТУРЫ И СПОРТА НА ТЕРРИТОРИИ МОТЫГИНСКОГО РАЙОНА"</t>
  </si>
  <si>
    <t>Физическая культура и спорт</t>
  </si>
  <si>
    <t>Физическая культура</t>
  </si>
  <si>
    <t>1100</t>
  </si>
  <si>
    <t>Муниципальная программа "Развитие физической культуры и спорта на территории Мотыгинского района"</t>
  </si>
  <si>
    <t>1101</t>
  </si>
  <si>
    <t>ФИЗИЧЕСКАЯ КУЛЬТУРА И СПОРТ</t>
  </si>
  <si>
    <t>Подпрограмма "Содержание автомобильных дорог общего пользования местного значения"</t>
  </si>
  <si>
    <t>Непрограммные расходы администрации Мотыгинского района</t>
  </si>
  <si>
    <t>Функционирование администрации Мотыгинского района</t>
  </si>
  <si>
    <t>Глава муниципального образования в рамках непрограммных расходов администрации Мотыгинского района</t>
  </si>
  <si>
    <t>8500000000</t>
  </si>
  <si>
    <t>8510000000</t>
  </si>
  <si>
    <t>8510000220</t>
  </si>
  <si>
    <t>Функционирование финансово-экономического управления администрации Мотыгинского района</t>
  </si>
  <si>
    <t>0690084020</t>
  </si>
  <si>
    <t>85100S5550</t>
  </si>
  <si>
    <t>Муниципальная программа " Обеспечение доступным и комфортным жильем жителей в Мотыгинского района"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</si>
  <si>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</si>
  <si>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Подпрограмма "Обеспечение реализации муниципальной программы"</t>
  </si>
  <si>
    <t>Субсидии юридическим лицам (за исключением государственных и  муниципальных учреждений) и 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регулированием тарифов на перевозки пассажиров внутренним водным транспортом в местном сообщении</t>
  </si>
  <si>
    <t>Связь и информатика</t>
  </si>
  <si>
    <t>0410</t>
  </si>
  <si>
    <t>Реализация отдельных мер по обеспечению ограничения платы граждан за коммунальные услуги</t>
  </si>
  <si>
    <t>11200L4970</t>
  </si>
  <si>
    <t>9100000000</t>
  </si>
  <si>
    <t>9170000000</t>
  </si>
  <si>
    <t>Функционирование централизованной бухгалтерии муниципального образования Мотыгинский район</t>
  </si>
  <si>
    <t>Непрограммные расходы казенных учреждений</t>
  </si>
  <si>
    <t>9170000610</t>
  </si>
  <si>
    <t>Непрограммные расходы Контрольно-счетного органа Мотыгинского района</t>
  </si>
  <si>
    <t>Функционирование Контрольно-счетного органа Мотыгинского района</t>
  </si>
  <si>
    <t>Функционирование Мотыгинского районного Совета депутатов</t>
  </si>
  <si>
    <t>Муниципальная программа  "Содействие развитию местного самоуправления"</t>
  </si>
  <si>
    <t>МУНИЦИПАЛЬНОЕ КАЗЕННОЕ УЧРЕЖДЕНИЕ "СЛУЖБА ЗЕМЕЛЬНО-ИМУЩЕСТВЕННЫХ ОТНОШЕНИЙ  МОТЫГИНСКОГО РАЙОНА"</t>
  </si>
  <si>
    <t>Функционирование службы земельно-имущественных отношений Мотыгинского района</t>
  </si>
  <si>
    <t>0610000850</t>
  </si>
  <si>
    <t>0610017110</t>
  </si>
  <si>
    <t>Муниципальная программа "Содействие развитию местного самоуправления""</t>
  </si>
  <si>
    <t>Организация общественных работ на территории Мотыгинского района, обеспечивающих временную занятость и материальную поддержку безработных граждан</t>
  </si>
  <si>
    <t>Предоставление выпадающих доходов , возникающих в результате поставки населению по регулируемым ценам (тарифам) электрической энергии, вырабатываемой дизельными электростанциями</t>
  </si>
  <si>
    <t>0810000610</t>
  </si>
  <si>
    <t>Финансирование расходов на содержание единых дежурно-диспетчерских служб</t>
  </si>
  <si>
    <t>08100S4130</t>
  </si>
  <si>
    <t>Подпрограмма "Благоустройство территорий поселений"</t>
  </si>
  <si>
    <t>0240000660</t>
  </si>
  <si>
    <t>0690000000</t>
  </si>
  <si>
    <t>Подпрограмма "Осуществление деятельности по обеспечению безопасности в чрезвычайных ситуациях"</t>
  </si>
  <si>
    <t>08200000000</t>
  </si>
  <si>
    <t>Подпрограмма "Капитальный ремонт и ремонт автомобильных дорог общего пользования местного значения"</t>
  </si>
  <si>
    <t>НЕПРОГРАММГЫЕ РАСХОДЫ АДМИНИСТРАЦИИ МОТЫГИНСКОГО РАЙОНА</t>
  </si>
  <si>
    <t>НЕПРОГРАММНЫЕ РАХОДЫ КАЗЕННЫХ УЧРЕЖДЕНИЙ</t>
  </si>
  <si>
    <t>Обеспечение деятельности подведомственных учреждений в рамках непрограммных расходов</t>
  </si>
  <si>
    <t>НЕПРОГРАММНЫЕ РАСХОДЫ КОНТРОЛЬНО-СЧЕТНОГО ОРГАНА МОТЫГИНСКОГО РАЙОНА</t>
  </si>
  <si>
    <t>Подпрограмма «Вовлечение молодежи Мотыгинского района в социальную практику "</t>
  </si>
  <si>
    <t>0410000610</t>
  </si>
  <si>
    <t>04100S4560</t>
  </si>
  <si>
    <t>952</t>
  </si>
  <si>
    <t>0420086030</t>
  </si>
  <si>
    <t>0430086060</t>
  </si>
  <si>
    <t>Подпрограмма "Патриотическое воспитание молодежи Мотыгинского района"</t>
  </si>
  <si>
    <t>Муниципальная программа "Содействие развитию местного самоуправления"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</si>
  <si>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</si>
  <si>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Подпрограмма " Чистая вода Мотыгинского района"</t>
  </si>
  <si>
    <t>Подпрограмма " Энергосбережение и повышение энергетической эффективности Мотыгинского района"</t>
  </si>
  <si>
    <t>Подпрограмма "Развитие воздушного, водного и автомобильного пассажирского транспорта."</t>
  </si>
  <si>
    <t>Подпрограмма "Содержание автомобильных дорог общего пользования местного значения "</t>
  </si>
  <si>
    <t>Подпрограмма "Развитие массовой физической культуры и спорта на территории Мотыгинского района"</t>
  </si>
  <si>
    <t>Подпрограмма "Внедрение Всероссийского физкультурно-спортивного комплекса "Готов к труду и обороне" (ГТО) в Мотыгинском районе"</t>
  </si>
  <si>
    <t xml:space="preserve">Муниципальная программа  "Развитие культуры и туризма" </t>
  </si>
  <si>
    <t xml:space="preserve">Муниципальная программа "Развитие культуры и туризма" </t>
  </si>
  <si>
    <t>Подпрограмма "Обеспечение реализации общественных и гражданских инициатив и поддержка социально-ориентированных некоммерческих организаций "</t>
  </si>
  <si>
    <t>Муниципальная программа Мотыгинского района"Управление муниципальными финансами"</t>
  </si>
  <si>
    <t>Муниципальная программа Мотыгинского района "Управление муниципальными финансами"</t>
  </si>
  <si>
    <t>Непрограммные расходы представительного органа власти</t>
  </si>
  <si>
    <t xml:space="preserve">Депутаты представительного органа </t>
  </si>
  <si>
    <t>957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</si>
  <si>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непрограммных расходов представительного органа власти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</si>
  <si>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представительного органа власти</t>
  </si>
  <si>
    <t>Осуществление части полномочий по исполнению бюджета поселения, ведения бухгалтерского учета и формирования бюджетной отчетности</t>
  </si>
  <si>
    <t>9170084560</t>
  </si>
  <si>
    <t xml:space="preserve">Субвенции бюджетам муниципальных образований на осуществление государственных полномочий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</si>
  <si>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>Муниципальная программа "Развитие культуры и туризма"</t>
  </si>
  <si>
    <t xml:space="preserve">Обеспечение деятельности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</si>
  <si>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 xml:space="preserve">Обеспечение деятельности подведомственных учреждений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 </t>
  </si>
  <si>
    <t>НЕПРОГРАММНЫЕ РАСХОДЫ ПРЕДСТАВИТЕЛЬНЫХ ОРГАНОВ ВЛАСТИ</t>
  </si>
  <si>
    <t xml:space="preserve"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</si>
  <si>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</si>
  <si>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</si>
  <si>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</si>
  <si>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Обеспечение деятельности (оказание услуг) подведомственных учреждений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</si>
  <si>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 xml:space="preserve">Субвенции бюджетам муниципальных образований  на осуществление государственных полномочий по обеспечению отдыха и оздоровления детей в рамках подпрограммы "Развитие общего образования" муниципальной программы «Развитие общего и дополнительного образования в Мотыгинском районе » 
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</si>
  <si>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</si>
  <si>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</si>
  <si>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Руководство и управление в сфере делегированных полномочий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</si>
  <si>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</si>
  <si>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</si>
  <si>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</si>
  <si>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туризма"</t>
  </si>
  <si>
    <t>Обеспечение деятельности, содержание МБУ "Молодежный центр Мотыгинского района 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</si>
  <si>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>Создание условий для развития и совершенствования системы патриотического воспитания молодежи Мотыгинского района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</si>
  <si>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Содействие формированию пространства, способствующего развитию гражданских инициатив и поддержка социально-ориентированных некоммерческих организаций на территории Мотыгинского района  в рамках подпрограммы "Обеспечение реализации общественных и гражданских инициатив и поддержка социально-ориентированных некоммерческих организаций " муниципальной программа "Молодежь Мотыгинского района в ХХ1 веке"</t>
  </si>
  <si>
    <t xml:space="preserve">Обеспечение деятельности (оказание услуг) подведомственных учреждений  (развитие библиотечного дела) в рамках подпрограммы "Культурное наследие"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</si>
  <si>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(музей) в рамках подпрограммы "Культурное наследие" 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</si>
  <si>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(СКЦ) в рамках подпрограммы "Искусство и народное творчество"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</si>
  <si>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(СДК) в рамках подпрограммы "Искусство и народное творчество" муниципальной программы  "Развитие культуры и туризма" </t>
  </si>
  <si>
    <t xml:space="preserve">Комплектование книжных фондов библиотек  муниципального образования Мотыгинский район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</si>
  <si>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0110000000</t>
  </si>
  <si>
    <t>0110080070</t>
  </si>
  <si>
    <t>0120000000</t>
  </si>
  <si>
    <t>0120080080</t>
  </si>
  <si>
    <t>Реализация комплекса мер, направленных на стимулирование и вовлечение населения в занятия физической культурой и спортом в рамках подпрограммы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</si>
  <si>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Создание условий для развития и популяризации комплекса ГТО на территории Мотыгинского района в рамках подпрограммы "Внедрение Всероссийского физкультурно-спортивного комплекса "Готов к труду и обороне" (ГТО) в Мотыгинском районе" муниципальной программы "Развитие физической культуры и спорта на территории Мотыгинского района"</t>
  </si>
  <si>
    <t>0100000000</t>
  </si>
  <si>
    <t>Поддержка деятельности муниципальных молодежных центров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</si>
  <si>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 xml:space="preserve">Руководство и управление в сфере установленных функций органов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</si>
  <si>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</si>
  <si>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03200S5630</t>
  </si>
  <si>
    <t>Оценка недвижимости , признание прав и регулирование отношений по государственной и муниципальной собственности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</si>
  <si>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Мероприятия по землеустройству и землепользованию  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</si>
  <si>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</si>
  <si>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</si>
  <si>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0520000220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</si>
  <si>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</si>
  <si>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Предоставление дотаций на выравнивание бюджетной обеспеченности муниципальных образований Мотыгинского района счет средств районного  бюджета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</si>
  <si>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Жилищное хозяйство</t>
  </si>
  <si>
    <t>0501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</si>
  <si>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 в рамках непрограммных расходов администрации Мотыгинского района</t>
  </si>
  <si>
    <t>8510000250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</si>
  <si>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администрации Мотыгинского района</t>
  </si>
  <si>
    <t>Муниципальная программа "Развитие малого, среднего предпринимательства и  сельского хозяйства в Мотыгинском районе"</t>
  </si>
  <si>
    <t>0920000000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</si>
  <si>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</t>
  </si>
  <si>
    <t>0310</t>
  </si>
  <si>
    <t>МУНИЦИПАЛЬНАЯ ПРОГРАММА "РАЗВИТИЕ МАЛОГО,СРЕДНЕГО ПРЕДПРИНИМАТЕЛЬСТВА И СЕЛЬСКОГО ХОЗЯЙСТВА В МОТЫГИНСКОМ РАЙОНЕ"</t>
  </si>
  <si>
    <t>0910000000</t>
  </si>
  <si>
    <t>Подпрограмма "Эффективное управление муниципальной собственностью и земельными ресурсами на территории Мотыгинского района"</t>
  </si>
  <si>
    <t>0630000000</t>
  </si>
  <si>
    <t>0920075180</t>
  </si>
  <si>
    <t>09100S6070</t>
  </si>
  <si>
    <t>Субвенции бюджетам муниципальных образований на осуществление деятельности по опеке и попечительству в отношении совершеннолетних граждан, а также в сфере патронажа</t>
  </si>
  <si>
    <t>Оплата взносов за капитальный ремонт региональному фонду</t>
  </si>
  <si>
    <t>Подпрограмма "Обеспечение реализации и прочие мероприятия"</t>
  </si>
  <si>
    <t>Исполнение полномочий района по предоставлению выплаты пенсии за выслугу лет  лицам, замещавшим муниципальные должности муниципальной службы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</si>
  <si>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0630001110</t>
  </si>
  <si>
    <t>Публичные нормативные социальные выплаты гражданам</t>
  </si>
  <si>
    <t>0630080010</t>
  </si>
  <si>
    <t>Предоставление адресной материальной помощи ко Дню Победы 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</si>
  <si>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0630080020</t>
  </si>
  <si>
    <t xml:space="preserve">Комплектование книжных фондов библиотек Мотыгинского района  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</si>
  <si>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</si>
  <si>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Председатель представительного органа муниципальной власти муниципального района в рамках непрограммных расходов представительного органа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</si>
  <si>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</si>
  <si>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Мотыгинского района</t>
  </si>
  <si>
    <t>Предоставление дотаций на выравнивание бюджетной обеспеченности муниципальных образований Мотыгинского района  за счет средств субвенции из краевого бюджета на осуществление отдельных государственных полномочий по расчету и предоставлению дотаций поселениям 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</si>
  <si>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Иной межбюджетный трансферт для регулирования сбалансированности бюджетов поселений при осуществлении полномочий по решению вопросов местного значения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</si>
  <si>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Подпрограмма "Профилактика правонарушений и укрепление общественного порядка и общественной безопасности"</t>
  </si>
  <si>
    <t>Другие вопросы в области жилищно-коммунального хозяйства</t>
  </si>
  <si>
    <t>0505</t>
  </si>
  <si>
    <t>Осуществление части полномочий по градостроительной деятельности</t>
  </si>
  <si>
    <t>02400S4880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</si>
  <si>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</si>
  <si>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</si>
  <si>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</si>
  <si>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</si>
  <si>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</si>
  <si>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</si>
  <si>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</si>
  <si>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МУНИЦИПАЛЬЕНОГО ДОЛГА</t>
  </si>
  <si>
    <t>Обслуживание государственного и внутреннего долга</t>
  </si>
  <si>
    <t>Охрана окружающей среды</t>
  </si>
  <si>
    <t>0600</t>
  </si>
  <si>
    <t>0603</t>
  </si>
  <si>
    <t>ОХРАНА ОКРУЖАЮЩЕЙ СРЕДЫ</t>
  </si>
  <si>
    <t>Охрана объектов растительного и животного мира среды их обитания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</si>
  <si>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</si>
  <si>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03200L3040</t>
  </si>
  <si>
    <t>Другие вопросы в области охраны окружающей среды</t>
  </si>
  <si>
    <t>0605</t>
  </si>
  <si>
    <t>Содержание объектов жилищного фонда в рамках подпрограммы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 муниципальной программы  "Обеспечение доступным и комфортным жильем жителей Мотыгинского района"</t>
  </si>
  <si>
    <t>Содержание объектов недвижимого имущества, за исключением объектов жилищного фонда в рамках непрограммных расходов администрации Мотыгинского района</t>
  </si>
  <si>
    <t>от ________ № _______</t>
  </si>
  <si>
    <t>04200S4540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</si>
  <si>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</si>
  <si>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'Развитие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</si>
  <si>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0330000670</t>
  </si>
  <si>
    <t>Субсидии автономным учреждениям</t>
  </si>
  <si>
    <t>'Иные бюджетные ассигнования</t>
  </si>
  <si>
    <t>'Субсидии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</si>
  <si>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трудовому воспитанию несовершеннолетних</t>
  </si>
  <si>
    <t>0410086040</t>
  </si>
  <si>
    <t>'Защита населения и территории от чрезвычайных ситуаций природного и техногенного характера, гражданская оборона</t>
  </si>
  <si>
    <t>0820000000</t>
  </si>
  <si>
    <t>Профилактика правонарушений на территории муниципального образования Мотыгинский район</t>
  </si>
  <si>
    <t>0820091020</t>
  </si>
  <si>
    <t>Профилактика терроризма и экстремизма на территории муниципального образования Мотыгинский район</t>
  </si>
  <si>
    <t>Противодействие незаконному обороту наркотических средств</t>
  </si>
  <si>
    <t>0820091030</t>
  </si>
  <si>
    <t>0810091010</t>
  </si>
  <si>
    <t>0820091040</t>
  </si>
  <si>
    <t>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</t>
  </si>
  <si>
    <t>'Осуществление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</t>
  </si>
  <si>
    <t>'Профилактика терроризма и экстремизма на территории муниципального образования Мотыгинский район</t>
  </si>
  <si>
    <t>'Противодействие незаконному обороту наркотических средств</t>
  </si>
  <si>
    <t>'Проведение мероприятий по трудовому воспитанию несовершеннолетних</t>
  </si>
  <si>
    <t>Благоустройство</t>
  </si>
  <si>
    <t>0503</t>
  </si>
  <si>
    <t>Приложение № 3</t>
  </si>
  <si>
    <t>от ___________ № _________</t>
  </si>
  <si>
    <t xml:space="preserve">'Обеспечение функционирования модели персонифицированного финансирования дополнительного образования детей 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</si>
  <si>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</si>
  <si>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некоммерческим организациям ( за исключением государственных (муниципальных) учреждений</t>
  </si>
  <si>
    <t xml:space="preserve">Председатель Контрольно-счетного органа Мотыгинского района </t>
  </si>
  <si>
    <t xml:space="preserve"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</t>
  </si>
  <si>
    <t>Приложение № 4</t>
  </si>
  <si>
    <t>Организация деятельности лагерей с дневным пребыванием детей в рамках подпрограммы "Развитие общего образования" муниципальной программы  Мотыгинского района "Развитие общего и дополнительного образования в Мотыгинском районе"</t>
  </si>
  <si>
    <t>0320088270</t>
  </si>
  <si>
    <t>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</si>
  <si>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>Иной межбюджетный трансферт бюджетам муниципальных образований на 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</si>
  <si>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 xml:space="preserve">0804 </t>
  </si>
  <si>
    <t>Мероприятие содействующее развитию социального туризма и туристической инфраструктуры Мотыгинского района в рамках подпрограммы "Развитие внутреннего и въездного туризма" муниципальной программы  "Развитие культуры и туризма"</t>
  </si>
  <si>
    <t>0250094800</t>
  </si>
  <si>
    <t>Государственная поддержка отрасли культура (модернизация библиотек части комплектования книжных фондов)</t>
  </si>
  <si>
    <t>Массовый спорт</t>
  </si>
  <si>
    <t>0320053030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</si>
  <si>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</si>
  <si>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09100S6680</t>
  </si>
  <si>
    <t>1100000000</t>
  </si>
  <si>
    <t>1150000000</t>
  </si>
  <si>
    <t>1150075870</t>
  </si>
  <si>
    <t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t>
  </si>
  <si>
    <t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t>
  </si>
  <si>
    <t>03100S8400</t>
  </si>
  <si>
    <t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</si>
  <si>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03200S5620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</si>
  <si>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и содержание специализированного жилищного фонда за счет средств бюджета муниципального образования"</t>
  </si>
  <si>
    <t>Подпрограмма "Развитие субъектов малого и среднего предпринимательства на территории Мотыгинского района"</t>
  </si>
  <si>
    <t>Подпрограмма "Развитие сельского хозяйства на территории Мотыгинского района"</t>
  </si>
  <si>
    <t>0930000000</t>
  </si>
  <si>
    <t>0930075170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</si>
  <si>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</si>
  <si>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032Е151720</t>
  </si>
  <si>
    <t>0320015210</t>
  </si>
  <si>
    <t>Создание условий для оснащения (обновление материально-технической базы) оборудованием,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"Развитие общего образования" муниципальной программы "Развитие общего и дополнительного образования в Мотыгинском районе"</t>
  </si>
  <si>
    <t>Подпрограмма "Чистая вода Мотыгинского района"</t>
  </si>
  <si>
    <t xml:space="preserve">094 </t>
  </si>
  <si>
    <t>Субсидии</t>
  </si>
  <si>
    <t>Субсидия бюджетам муниципальных образований Мотыгинского района на реализацию мероприятий по капитальному ремонту, реконструкции, модернизации и строительству объектов водоснабжения коммунальной инфраструктуры</t>
  </si>
  <si>
    <t>0 710085010</t>
  </si>
  <si>
    <t>Осуществление части полномочий контрольно-счетного органа поселений по  внешнему муниципальному финансовому контролю</t>
  </si>
  <si>
    <t>955</t>
  </si>
  <si>
    <t>1130000000</t>
  </si>
  <si>
    <t>Разработка генерального плана и проекта правил землепользования и застройки муниципального образования Новоангарский сельсовет</t>
  </si>
  <si>
    <t>1130084670</t>
  </si>
  <si>
    <t>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</si>
  <si>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06200S6410</t>
  </si>
  <si>
    <t>'Межбюджетные трансферты</t>
  </si>
  <si>
    <t>'Иные межбюджетные трансферты</t>
  </si>
  <si>
    <t>1102</t>
  </si>
  <si>
    <t>0110074180</t>
  </si>
  <si>
    <t>'Поддержка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</si>
  <si>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</si>
  <si>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характера"</t>
  </si>
  <si>
    <t>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</si>
  <si>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08100S4120</t>
  </si>
  <si>
    <t>Непрограммные расходы Управления образования Мотыгинского района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</si>
  <si>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Мотыгинского района"</t>
  </si>
  <si>
    <t>'Предоставление субсидий бюджетным, автономным учреждениям и иным некоммерческим организациям</t>
  </si>
  <si>
    <t>'Субсидии бюджетным учреждениям</t>
  </si>
  <si>
    <t>9140000000</t>
  </si>
  <si>
    <t>91Г0008530</t>
  </si>
  <si>
    <t>032ЕВ51790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</si>
  <si>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</si>
  <si>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'Непрограммные расходы казенных учреждений</t>
  </si>
  <si>
    <t>'Непрограммные расходы Управления образования Мотыгинского района</t>
  </si>
  <si>
    <t>'Финансовое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Мотыгинского района"</t>
  </si>
  <si>
    <t>02400L5190</t>
  </si>
  <si>
    <t>024А155900</t>
  </si>
  <si>
    <t>024А255195</t>
  </si>
  <si>
    <t>024А255196</t>
  </si>
  <si>
    <t>Техническое оснащение муниципальных музеев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</si>
  <si>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</si>
  <si>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</si>
  <si>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'Закупка товаров, работ и услуг для обеспечения государственных (муниципальных) нужд</t>
  </si>
  <si>
    <t>'Обеспечение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</si>
  <si>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Проведение мероприятий по обеспечению антитеррористической защищенности объектов образования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</si>
  <si>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03200S5590</t>
  </si>
  <si>
    <t>0610077450</t>
  </si>
  <si>
    <t>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t>
  </si>
  <si>
    <t>'Содействие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t>
  </si>
  <si>
    <t>'Осуществление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</si>
  <si>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0710085010</t>
  </si>
  <si>
    <t>'Иные закупки товаров, работ и услуг для обеспечения государственных (муниципальных) нужд</t>
  </si>
  <si>
    <t>'Проведение мероприятий по обеспечению антитеррористической защищенности объектов образования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</si>
  <si>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'Обеспечение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</si>
  <si>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'Техническое оснащение муниципальных музеев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</si>
  <si>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'Государственная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</si>
  <si>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'Государственная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</si>
  <si>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программы"Развитие культуры и туризма"</t>
  </si>
  <si>
    <t>02400S4840</t>
  </si>
  <si>
    <t>'Создание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программы"Развитие культуры и туризма"</t>
  </si>
  <si>
    <t>( рублей)</t>
  </si>
  <si>
    <t>'Социальное обеспечение и иные выплаты населению</t>
  </si>
  <si>
    <t>'Социальные выплаты гражданам, кроме публичных нормативных социальных выплат</t>
  </si>
  <si>
    <t>03300S5680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</si>
  <si>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муниципаоьной программы Мотыгинского района "Развитие общего и дополнительного образования в Мотыгинском районе"</t>
  </si>
  <si>
    <t>1130084680</t>
  </si>
  <si>
    <t>Отражение границ зон затопления, подтопления территорий в правилах землепользования и застройки Мотыгинского района</t>
  </si>
  <si>
    <t>Субсидия бюджету поселка Мотыгино на приобретение автоцистерны</t>
  </si>
  <si>
    <t>0710085013</t>
  </si>
  <si>
    <t xml:space="preserve">Утверждено решением о бюджете </t>
  </si>
  <si>
    <t xml:space="preserve">Бюджетная роспись с учетом изменений </t>
  </si>
  <si>
    <t xml:space="preserve">Исполнено </t>
  </si>
  <si>
    <t>Процент исполнения</t>
  </si>
  <si>
    <t>Иные межбюджетные трансферты на финансовое обеспечение расходов на увеличение размеролв оплаты труда работников муниципальных учреждений культуры, подведомственных муниципальным органам управления в области культуры</t>
  </si>
  <si>
    <t>0210010330</t>
  </si>
  <si>
    <t>0230010330</t>
  </si>
  <si>
    <t>Ведомственная структура расходов районного бюджета  в 2023 году</t>
  </si>
  <si>
    <t xml:space="preserve">Расходы районного  бюджета по разделам, подразделам 
классификации расходов бюджетов  в 2023 году					
</t>
  </si>
  <si>
    <t>Расходы районного бюджета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в 2023 году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</si>
</sst>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 Cyr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/>
    <xf numFmtId="164" fontId="11" fillId="0" borderId="0" applyFont="0" applyFill="0" applyBorder="0" applyAlignment="0" applyProtection="0"/>
    <xf numFmtId="0" fontId="25" fillId="0" borderId="0"/>
  </cellStyleXfs>
  <cellXfs count="265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justify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164" fontId="6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3" fillId="0" borderId="1" xfId="2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164" fontId="10" fillId="0" borderId="1" xfId="2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15" fillId="0" borderId="1" xfId="2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/>
    </xf>
    <xf numFmtId="164" fontId="10" fillId="3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4" fillId="0" borderId="1" xfId="0" applyFont="1" applyBorder="1"/>
    <xf numFmtId="0" fontId="1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4" fillId="0" borderId="1" xfId="2" applyFont="1" applyFill="1" applyBorder="1" applyAlignment="1">
      <alignment horizontal="center" vertical="center"/>
    </xf>
    <xf numFmtId="164" fontId="10" fillId="0" borderId="1" xfId="2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Border="1" applyAlignment="1">
      <alignment horizontal="justify" vertical="center" wrapText="1"/>
    </xf>
    <xf numFmtId="0" fontId="21" fillId="0" borderId="1" xfId="0" applyNumberFormat="1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4" fillId="0" borderId="1" xfId="0" applyFont="1" applyFill="1" applyBorder="1"/>
    <xf numFmtId="49" fontId="1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 shrinkToFi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0" fontId="7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49" fontId="18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quotePrefix="1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7" fillId="0" borderId="1" xfId="0" quotePrefix="1" applyNumberFormat="1" applyFont="1" applyBorder="1" applyAlignment="1">
      <alignment horizontal="justify" vertical="center" wrapText="1"/>
    </xf>
    <xf numFmtId="0" fontId="7" fillId="0" borderId="1" xfId="0" quotePrefix="1" applyNumberFormat="1" applyFont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2" fillId="0" borderId="1" xfId="0" quotePrefix="1" applyNumberFormat="1" applyFont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0" fontId="12" fillId="0" borderId="1" xfId="0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right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7" fillId="0" borderId="1" xfId="0" quotePrefix="1" applyNumberFormat="1" applyFont="1" applyFill="1" applyBorder="1" applyAlignment="1">
      <alignment horizontal="center" wrapText="1"/>
    </xf>
    <xf numFmtId="164" fontId="3" fillId="2" borderId="1" xfId="2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/>
    <xf numFmtId="164" fontId="3" fillId="0" borderId="1" xfId="2" applyFont="1" applyFill="1" applyBorder="1"/>
    <xf numFmtId="164" fontId="3" fillId="0" borderId="0" xfId="2" applyFont="1" applyFill="1"/>
    <xf numFmtId="164" fontId="3" fillId="0" borderId="0" xfId="2" applyFont="1" applyFill="1" applyBorder="1" applyAlignment="1">
      <alignment horizontal="center" vertical="center"/>
    </xf>
    <xf numFmtId="164" fontId="3" fillId="0" borderId="0" xfId="2" applyFont="1" applyFill="1" applyBorder="1"/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164" fontId="24" fillId="0" borderId="0" xfId="2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3" fillId="2" borderId="1" xfId="2" applyFont="1" applyFill="1" applyBorder="1"/>
    <xf numFmtId="164" fontId="3" fillId="0" borderId="0" xfId="0" applyNumberFormat="1" applyFont="1" applyFill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3" fillId="0" borderId="1" xfId="0" applyFont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164" fontId="3" fillId="0" borderId="0" xfId="2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164" fontId="14" fillId="0" borderId="0" xfId="2" applyFont="1" applyBorder="1" applyAlignment="1">
      <alignment horizontal="center" vertical="center"/>
    </xf>
    <xf numFmtId="4" fontId="14" fillId="0" borderId="0" xfId="0" applyNumberFormat="1" applyFont="1" applyFill="1"/>
    <xf numFmtId="4" fontId="26" fillId="0" borderId="0" xfId="3" applyNumberFormat="1" applyFont="1" applyBorder="1" applyAlignment="1" applyProtection="1">
      <alignment horizontal="right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164" fontId="10" fillId="0" borderId="0" xfId="2" applyFont="1" applyFill="1" applyBorder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164" fontId="3" fillId="0" borderId="4" xfId="2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3" borderId="1" xfId="2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3" fontId="3" fillId="0" borderId="1" xfId="0" applyNumberFormat="1" applyFont="1" applyFill="1" applyBorder="1" applyAlignment="1">
      <alignment horizontal="center" vertical="center"/>
    </xf>
    <xf numFmtId="43" fontId="10" fillId="0" borderId="1" xfId="0" applyNumberFormat="1" applyFont="1" applyFill="1" applyBorder="1" applyAlignment="1">
      <alignment horizontal="center" vertical="center"/>
    </xf>
    <xf numFmtId="43" fontId="15" fillId="0" borderId="1" xfId="0" applyNumberFormat="1" applyFont="1" applyFill="1" applyBorder="1" applyAlignment="1">
      <alignment horizontal="center" vertical="center"/>
    </xf>
    <xf numFmtId="0" fontId="27" fillId="0" borderId="0" xfId="0" quotePrefix="1" applyFont="1" applyFill="1" applyAlignment="1">
      <alignment vertical="top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2" fillId="0" borderId="1" xfId="0" quotePrefix="1" applyNumberFormat="1" applyFont="1" applyBorder="1" applyAlignment="1">
      <alignment horizontal="left" vertical="center" wrapText="1"/>
    </xf>
    <xf numFmtId="0" fontId="27" fillId="0" borderId="0" xfId="0" quotePrefix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164" fontId="3" fillId="0" borderId="2" xfId="2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164" fontId="14" fillId="0" borderId="2" xfId="2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43" fontId="3" fillId="0" borderId="2" xfId="0" applyNumberFormat="1" applyFont="1" applyFill="1" applyBorder="1" applyAlignment="1">
      <alignment horizontal="center" vertical="center"/>
    </xf>
    <xf numFmtId="43" fontId="3" fillId="0" borderId="4" xfId="0" applyNumberFormat="1" applyFont="1" applyFill="1" applyBorder="1" applyAlignment="1">
      <alignment horizontal="center" vertical="center"/>
    </xf>
    <xf numFmtId="43" fontId="3" fillId="0" borderId="5" xfId="0" applyNumberFormat="1" applyFont="1" applyFill="1" applyBorder="1" applyAlignment="1">
      <alignment horizontal="center" vertical="center"/>
    </xf>
    <xf numFmtId="43" fontId="10" fillId="0" borderId="2" xfId="0" applyNumberFormat="1" applyFont="1" applyFill="1" applyBorder="1" applyAlignment="1">
      <alignment horizontal="center" vertical="center"/>
    </xf>
    <xf numFmtId="43" fontId="10" fillId="0" borderId="5" xfId="0" applyNumberFormat="1" applyFont="1" applyFill="1" applyBorder="1" applyAlignment="1">
      <alignment horizontal="center" vertical="center"/>
    </xf>
    <xf numFmtId="43" fontId="10" fillId="0" borderId="4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justify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2" xfId="0" quotePrefix="1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justify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2" xfId="0" quotePrefix="1" applyNumberFormat="1" applyFont="1" applyFill="1" applyBorder="1" applyAlignment="1">
      <alignment horizontal="left" vertical="center" wrapText="1"/>
    </xf>
    <xf numFmtId="0" fontId="4" fillId="0" borderId="5" xfId="0" quotePrefix="1" applyNumberFormat="1" applyFont="1" applyFill="1" applyBorder="1" applyAlignment="1">
      <alignment horizontal="left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wrapText="1"/>
    </xf>
  </cellXfs>
  <cellStyles count="4">
    <cellStyle name="Обычный" xfId="0" builtinId="0"/>
    <cellStyle name="Обычный 2" xfId="1"/>
    <cellStyle name="Обычный_приложение 4" xfId="3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view="pageBreakPreview" topLeftCell="A46" zoomScale="60" zoomScaleNormal="100" workbookViewId="0">
      <selection activeCell="B68" sqref="B68"/>
    </sheetView>
  </sheetViews>
  <sheetFormatPr defaultColWidth="34" defaultRowHeight="15.75"/>
  <cols>
    <col min="1" max="1" width="8.140625" style="13" customWidth="1"/>
    <col min="2" max="2" width="58" style="9" customWidth="1"/>
    <col min="3" max="3" width="11.28515625" style="13" customWidth="1"/>
    <col min="4" max="4" width="18.85546875" style="13" customWidth="1"/>
    <col min="5" max="5" width="18.7109375" style="13" customWidth="1"/>
    <col min="6" max="6" width="18.85546875" style="13" customWidth="1"/>
    <col min="7" max="7" width="14.28515625" style="13" customWidth="1"/>
    <col min="8" max="16384" width="34" style="13"/>
  </cols>
  <sheetData>
    <row r="1" spans="1:7">
      <c r="F1" s="17" t="s">
        <v>452</v>
      </c>
      <c r="G1" s="18"/>
    </row>
    <row r="2" spans="1:7">
      <c r="F2" s="19" t="s">
        <v>150</v>
      </c>
      <c r="G2" s="18"/>
    </row>
    <row r="3" spans="1:7">
      <c r="F3" s="19" t="s">
        <v>244</v>
      </c>
      <c r="G3" s="18"/>
    </row>
    <row r="4" spans="1:7">
      <c r="F4" s="19" t="s">
        <v>453</v>
      </c>
      <c r="G4" s="18"/>
    </row>
    <row r="5" spans="1:7">
      <c r="D5" s="19"/>
      <c r="E5" s="18"/>
      <c r="F5" s="18"/>
    </row>
    <row r="6" spans="1:7" ht="42.75" customHeight="1">
      <c r="A6" s="200" t="s">
        <v>563</v>
      </c>
      <c r="B6" s="200"/>
      <c r="C6" s="200"/>
      <c r="D6" s="200"/>
      <c r="E6" s="200"/>
      <c r="F6" s="200"/>
      <c r="G6" s="196"/>
    </row>
    <row r="7" spans="1:7">
      <c r="A7" s="7"/>
      <c r="B7" s="10"/>
      <c r="C7" s="8"/>
      <c r="D7" s="8"/>
      <c r="E7" s="8"/>
    </row>
    <row r="8" spans="1:7">
      <c r="A8" s="2"/>
      <c r="B8" s="11"/>
      <c r="C8" s="3"/>
      <c r="D8" s="4"/>
      <c r="G8" s="4" t="s">
        <v>546</v>
      </c>
    </row>
    <row r="9" spans="1:7" ht="47.25">
      <c r="A9" s="5" t="s">
        <v>0</v>
      </c>
      <c r="B9" s="12" t="s">
        <v>83</v>
      </c>
      <c r="C9" s="6" t="s">
        <v>3</v>
      </c>
      <c r="D9" s="1" t="s">
        <v>555</v>
      </c>
      <c r="E9" s="1" t="s">
        <v>556</v>
      </c>
      <c r="F9" s="1" t="s">
        <v>557</v>
      </c>
      <c r="G9" s="180" t="s">
        <v>558</v>
      </c>
    </row>
    <row r="10" spans="1:7">
      <c r="A10" s="87"/>
      <c r="B10" s="5" t="s">
        <v>6</v>
      </c>
      <c r="C10" s="88" t="s">
        <v>7</v>
      </c>
      <c r="D10" s="88" t="s">
        <v>8</v>
      </c>
      <c r="E10" s="88" t="s">
        <v>9</v>
      </c>
      <c r="F10" s="197">
        <v>5</v>
      </c>
      <c r="G10" s="197">
        <v>6</v>
      </c>
    </row>
    <row r="11" spans="1:7" ht="24.75" customHeight="1">
      <c r="A11" s="89">
        <v>1</v>
      </c>
      <c r="B11" s="90" t="s">
        <v>84</v>
      </c>
      <c r="C11" s="91" t="s">
        <v>85</v>
      </c>
      <c r="D11" s="92">
        <f t="shared" ref="D11:E11" si="0">D12+D13+D14+D16+D17+D18+D15</f>
        <v>163030303.06</v>
      </c>
      <c r="E11" s="92">
        <f t="shared" si="0"/>
        <v>163030303.06</v>
      </c>
      <c r="F11" s="92">
        <f t="shared" ref="F11" si="1">F12+F13+F14+F16+F17+F18+F15</f>
        <v>159200636.56</v>
      </c>
      <c r="G11" s="198">
        <f>F11/E11*100</f>
        <v>97.650948058048712</v>
      </c>
    </row>
    <row r="12" spans="1:7" ht="36" customHeight="1">
      <c r="A12" s="89">
        <v>2</v>
      </c>
      <c r="B12" s="93" t="s">
        <v>86</v>
      </c>
      <c r="C12" s="94" t="s">
        <v>87</v>
      </c>
      <c r="D12" s="95">
        <f>'приложение 4'!G120</f>
        <v>2618169.4499999997</v>
      </c>
      <c r="E12" s="95">
        <f>'приложение 4'!H120</f>
        <v>2618169.4500000002</v>
      </c>
      <c r="F12" s="95">
        <f>'приложение 4'!I120</f>
        <v>2572448.37</v>
      </c>
      <c r="G12" s="198">
        <f t="shared" ref="G12:G60" si="2">F12/E12*100</f>
        <v>98.253700500553919</v>
      </c>
    </row>
    <row r="13" spans="1:7" ht="53.25" customHeight="1">
      <c r="A13" s="89">
        <v>3</v>
      </c>
      <c r="B13" s="93" t="s">
        <v>88</v>
      </c>
      <c r="C13" s="94" t="s">
        <v>89</v>
      </c>
      <c r="D13" s="95">
        <f>'приложение 4'!G641</f>
        <v>5457787.9300000006</v>
      </c>
      <c r="E13" s="95">
        <f>'приложение 4'!H641</f>
        <v>5457787.9300000006</v>
      </c>
      <c r="F13" s="95">
        <f>'приложение 4'!I641</f>
        <v>5335960.12</v>
      </c>
      <c r="G13" s="198">
        <f t="shared" si="2"/>
        <v>97.767817079693657</v>
      </c>
    </row>
    <row r="14" spans="1:7" ht="63">
      <c r="A14" s="89">
        <v>4</v>
      </c>
      <c r="B14" s="93" t="s">
        <v>16</v>
      </c>
      <c r="C14" s="94" t="s">
        <v>90</v>
      </c>
      <c r="D14" s="95">
        <f>'приложение 4'!G126</f>
        <v>40514637.219999999</v>
      </c>
      <c r="E14" s="95">
        <f>'приложение 4'!H126</f>
        <v>40514637.219999999</v>
      </c>
      <c r="F14" s="95">
        <f>'приложение 4'!I126</f>
        <v>38209202.870000005</v>
      </c>
      <c r="G14" s="198">
        <f t="shared" si="2"/>
        <v>94.309626080369</v>
      </c>
    </row>
    <row r="15" spans="1:7">
      <c r="A15" s="89">
        <v>5</v>
      </c>
      <c r="B15" s="96" t="s">
        <v>155</v>
      </c>
      <c r="C15" s="94" t="s">
        <v>158</v>
      </c>
      <c r="D15" s="95">
        <f>'приложение 4'!G144</f>
        <v>13800</v>
      </c>
      <c r="E15" s="95">
        <f>'приложение 4'!H144</f>
        <v>13800</v>
      </c>
      <c r="F15" s="95">
        <f>'приложение 4'!I144</f>
        <v>13800</v>
      </c>
      <c r="G15" s="198">
        <f t="shared" si="2"/>
        <v>100</v>
      </c>
    </row>
    <row r="16" spans="1:7" ht="47.25">
      <c r="A16" s="89">
        <v>6</v>
      </c>
      <c r="B16" s="93" t="s">
        <v>11</v>
      </c>
      <c r="C16" s="94" t="s">
        <v>91</v>
      </c>
      <c r="D16" s="95">
        <f>'приложение 4'!G15+'приложение 4'!G623</f>
        <v>20902007.460000001</v>
      </c>
      <c r="E16" s="95">
        <f>'приложение 4'!H15+'приложение 4'!H624</f>
        <v>20902007.460000001</v>
      </c>
      <c r="F16" s="95">
        <f>'приложение 4'!I15+'приложение 4'!I624</f>
        <v>20800294.440000001</v>
      </c>
      <c r="G16" s="198">
        <f t="shared" si="2"/>
        <v>99.513381572585089</v>
      </c>
    </row>
    <row r="17" spans="1:7">
      <c r="A17" s="89">
        <v>7</v>
      </c>
      <c r="B17" s="93" t="s">
        <v>30</v>
      </c>
      <c r="C17" s="94" t="s">
        <v>92</v>
      </c>
      <c r="D17" s="95">
        <f>'приложение 4'!G150</f>
        <v>150000</v>
      </c>
      <c r="E17" s="95">
        <f>'приложение 4'!H150</f>
        <v>150000</v>
      </c>
      <c r="F17" s="95">
        <f>'приложение 4'!I150</f>
        <v>0</v>
      </c>
      <c r="G17" s="198">
        <f t="shared" si="2"/>
        <v>0</v>
      </c>
    </row>
    <row r="18" spans="1:7">
      <c r="A18" s="89">
        <v>8</v>
      </c>
      <c r="B18" s="93" t="s">
        <v>34</v>
      </c>
      <c r="C18" s="94" t="s">
        <v>93</v>
      </c>
      <c r="D18" s="95">
        <f>'приложение 4'!G151+'приложение 4'!G349+'приложение 4'!G366+'приложение 4'!G383+'приложение 4'!G29</f>
        <v>93373900.999999985</v>
      </c>
      <c r="E18" s="95">
        <f>'приложение 4'!H151+'приложение 4'!H349+'приложение 4'!H366+'приложение 4'!H383+'приложение 4'!H29</f>
        <v>93373900.999999985</v>
      </c>
      <c r="F18" s="95">
        <f>'приложение 4'!I151+'приложение 4'!I349+'приложение 4'!I366+'приложение 4'!I383+'приложение 4'!I29</f>
        <v>92268930.75999999</v>
      </c>
      <c r="G18" s="198">
        <f t="shared" si="2"/>
        <v>98.816617675639378</v>
      </c>
    </row>
    <row r="19" spans="1:7" ht="29.25" customHeight="1">
      <c r="A19" s="89">
        <v>9</v>
      </c>
      <c r="B19" s="90" t="s">
        <v>94</v>
      </c>
      <c r="C19" s="91" t="s">
        <v>95</v>
      </c>
      <c r="D19" s="98">
        <f t="shared" ref="D19:F19" si="3">D20</f>
        <v>2277500</v>
      </c>
      <c r="E19" s="98">
        <f t="shared" si="3"/>
        <v>2277500</v>
      </c>
      <c r="F19" s="98">
        <f t="shared" si="3"/>
        <v>2277500</v>
      </c>
      <c r="G19" s="198">
        <f t="shared" si="2"/>
        <v>100</v>
      </c>
    </row>
    <row r="20" spans="1:7">
      <c r="A20" s="89">
        <v>10</v>
      </c>
      <c r="B20" s="93" t="s">
        <v>21</v>
      </c>
      <c r="C20" s="94" t="s">
        <v>96</v>
      </c>
      <c r="D20" s="95">
        <f>'приложение 4'!G36</f>
        <v>2277500</v>
      </c>
      <c r="E20" s="95">
        <f>'приложение 4'!H36</f>
        <v>2277500</v>
      </c>
      <c r="F20" s="95">
        <f>'приложение 4'!I36</f>
        <v>2277500</v>
      </c>
      <c r="G20" s="198">
        <f t="shared" si="2"/>
        <v>100</v>
      </c>
    </row>
    <row r="21" spans="1:7" ht="35.25" customHeight="1">
      <c r="A21" s="89">
        <v>11</v>
      </c>
      <c r="B21" s="99" t="s">
        <v>97</v>
      </c>
      <c r="C21" s="91" t="s">
        <v>98</v>
      </c>
      <c r="D21" s="100">
        <f t="shared" ref="D21:F21" si="4">D22</f>
        <v>9738241.879999999</v>
      </c>
      <c r="E21" s="100">
        <f t="shared" si="4"/>
        <v>9738241.879999999</v>
      </c>
      <c r="F21" s="100">
        <f t="shared" si="4"/>
        <v>9443934.2699999996</v>
      </c>
      <c r="G21" s="198">
        <f t="shared" si="2"/>
        <v>96.977815773867391</v>
      </c>
    </row>
    <row r="22" spans="1:7" ht="47.25">
      <c r="A22" s="89">
        <v>12</v>
      </c>
      <c r="B22" s="72" t="s">
        <v>73</v>
      </c>
      <c r="C22" s="109" t="s">
        <v>378</v>
      </c>
      <c r="D22" s="95">
        <f>'приложение 4'!G334+'приложение 4'!G188+'приложение 4'!G43</f>
        <v>9738241.879999999</v>
      </c>
      <c r="E22" s="95">
        <f>'приложение 4'!H334+'приложение 4'!H188+'приложение 4'!H43</f>
        <v>9738241.879999999</v>
      </c>
      <c r="F22" s="95">
        <f>'приложение 4'!I334+'приложение 4'!I188+'приложение 4'!I43</f>
        <v>9443934.2699999996</v>
      </c>
      <c r="G22" s="198">
        <f t="shared" si="2"/>
        <v>96.977815773867391</v>
      </c>
    </row>
    <row r="23" spans="1:7" ht="33.75" customHeight="1">
      <c r="A23" s="89">
        <v>13</v>
      </c>
      <c r="B23" s="90" t="s">
        <v>99</v>
      </c>
      <c r="C23" s="91" t="s">
        <v>100</v>
      </c>
      <c r="D23" s="101">
        <f t="shared" ref="D23:E23" si="5">D24+D25+D26+D27+D29+D28</f>
        <v>49847050.230000004</v>
      </c>
      <c r="E23" s="98">
        <f t="shared" si="5"/>
        <v>49847050.230000004</v>
      </c>
      <c r="F23" s="98">
        <f t="shared" ref="F23" si="6">F24+F25+F26+F27+F29+F28</f>
        <v>45674889.259999998</v>
      </c>
      <c r="G23" s="198">
        <f t="shared" si="2"/>
        <v>91.630074496386101</v>
      </c>
    </row>
    <row r="24" spans="1:7">
      <c r="A24" s="89">
        <v>14</v>
      </c>
      <c r="B24" s="93" t="s">
        <v>101</v>
      </c>
      <c r="C24" s="94" t="s">
        <v>102</v>
      </c>
      <c r="D24" s="95">
        <f>'приложение 4'!G50</f>
        <v>200000</v>
      </c>
      <c r="E24" s="95">
        <f>'приложение 4'!H50</f>
        <v>200000</v>
      </c>
      <c r="F24" s="95">
        <f>'приложение 4'!I50</f>
        <v>199989.37</v>
      </c>
      <c r="G24" s="198">
        <f t="shared" si="2"/>
        <v>99.99468499999999</v>
      </c>
    </row>
    <row r="25" spans="1:7">
      <c r="A25" s="89">
        <v>15</v>
      </c>
      <c r="B25" s="93" t="s">
        <v>40</v>
      </c>
      <c r="C25" s="94" t="s">
        <v>103</v>
      </c>
      <c r="D25" s="95">
        <f>'приложение 4'!G205</f>
        <v>1029000</v>
      </c>
      <c r="E25" s="95">
        <f>'приложение 4'!H206</f>
        <v>1029000</v>
      </c>
      <c r="F25" s="95">
        <f>'приложение 4'!I206</f>
        <v>794126.02</v>
      </c>
      <c r="G25" s="198">
        <f t="shared" si="2"/>
        <v>77.174540330417884</v>
      </c>
    </row>
    <row r="26" spans="1:7">
      <c r="A26" s="89">
        <v>16</v>
      </c>
      <c r="B26" s="93" t="s">
        <v>39</v>
      </c>
      <c r="C26" s="94" t="s">
        <v>104</v>
      </c>
      <c r="D26" s="95">
        <f>'приложение 4'!G213</f>
        <v>30229611.780000001</v>
      </c>
      <c r="E26" s="95">
        <f>'приложение 4'!H214</f>
        <v>30229611.780000001</v>
      </c>
      <c r="F26" s="95">
        <f>'приложение 4'!I214</f>
        <v>29442174.949999999</v>
      </c>
      <c r="G26" s="198">
        <f t="shared" si="2"/>
        <v>97.39514739477741</v>
      </c>
    </row>
    <row r="27" spans="1:7">
      <c r="A27" s="89">
        <v>17</v>
      </c>
      <c r="B27" s="93" t="s">
        <v>105</v>
      </c>
      <c r="C27" s="94" t="s">
        <v>106</v>
      </c>
      <c r="D27" s="95">
        <f>'приложение 4'!G56+'приложение 4'!G224</f>
        <v>13512488.449999999</v>
      </c>
      <c r="E27" s="95">
        <f>'приложение 4'!H56+'приложение 4'!H225</f>
        <v>13512488.449999999</v>
      </c>
      <c r="F27" s="95">
        <f>'приложение 4'!I56+'приложение 4'!I225</f>
        <v>13210038.92</v>
      </c>
      <c r="G27" s="198">
        <f t="shared" si="2"/>
        <v>97.761703692705098</v>
      </c>
    </row>
    <row r="28" spans="1:7">
      <c r="A28" s="89">
        <v>18</v>
      </c>
      <c r="B28" s="96" t="s">
        <v>266</v>
      </c>
      <c r="C28" s="94" t="s">
        <v>267</v>
      </c>
      <c r="D28" s="95">
        <v>0</v>
      </c>
      <c r="E28" s="95">
        <v>0</v>
      </c>
      <c r="F28" s="95">
        <v>0</v>
      </c>
      <c r="G28" s="198"/>
    </row>
    <row r="29" spans="1:7">
      <c r="A29" s="89">
        <v>19</v>
      </c>
      <c r="B29" s="93" t="s">
        <v>46</v>
      </c>
      <c r="C29" s="94" t="s">
        <v>107</v>
      </c>
      <c r="D29" s="95">
        <f>'приложение 4'!G230</f>
        <v>4875950</v>
      </c>
      <c r="E29" s="95">
        <f>'приложение 4'!H230</f>
        <v>4875950</v>
      </c>
      <c r="F29" s="95">
        <f>'приложение 4'!I230</f>
        <v>2028560</v>
      </c>
      <c r="G29" s="198">
        <f t="shared" si="2"/>
        <v>41.603379854182258</v>
      </c>
    </row>
    <row r="30" spans="1:7" ht="34.5" customHeight="1">
      <c r="A30" s="89">
        <v>20</v>
      </c>
      <c r="B30" s="90" t="s">
        <v>108</v>
      </c>
      <c r="C30" s="91" t="s">
        <v>109</v>
      </c>
      <c r="D30" s="98">
        <f t="shared" ref="D30:F30" si="7">D32+D31+D34+D33</f>
        <v>82371459.230000004</v>
      </c>
      <c r="E30" s="98">
        <f t="shared" si="7"/>
        <v>82371459.230000004</v>
      </c>
      <c r="F30" s="98">
        <f t="shared" si="7"/>
        <v>81010710</v>
      </c>
      <c r="G30" s="198">
        <f t="shared" si="2"/>
        <v>98.348033113993424</v>
      </c>
    </row>
    <row r="31" spans="1:7" ht="34.5" customHeight="1">
      <c r="A31" s="89">
        <v>21</v>
      </c>
      <c r="B31" s="96" t="s">
        <v>370</v>
      </c>
      <c r="C31" s="97" t="s">
        <v>371</v>
      </c>
      <c r="D31" s="95">
        <f>'приложение 4'!G248</f>
        <v>181930</v>
      </c>
      <c r="E31" s="95">
        <f>'приложение 4'!H248</f>
        <v>181930</v>
      </c>
      <c r="F31" s="95">
        <f>'приложение 4'!I248</f>
        <v>158323.64000000001</v>
      </c>
      <c r="G31" s="198">
        <f t="shared" si="2"/>
        <v>87.024481943604698</v>
      </c>
    </row>
    <row r="32" spans="1:7">
      <c r="A32" s="89">
        <v>22</v>
      </c>
      <c r="B32" s="93" t="s">
        <v>110</v>
      </c>
      <c r="C32" s="94" t="s">
        <v>111</v>
      </c>
      <c r="D32" s="95">
        <f>'приложение 4'!G256</f>
        <v>74032300</v>
      </c>
      <c r="E32" s="95">
        <f>'приложение 4'!H257</f>
        <v>74032300</v>
      </c>
      <c r="F32" s="95">
        <f>'приложение 4'!I257</f>
        <v>72695157.129999995</v>
      </c>
      <c r="G32" s="198">
        <f t="shared" si="2"/>
        <v>98.193838540745048</v>
      </c>
    </row>
    <row r="33" spans="1:7">
      <c r="A33" s="89">
        <v>23</v>
      </c>
      <c r="B33" s="96" t="s">
        <v>450</v>
      </c>
      <c r="C33" s="94" t="s">
        <v>451</v>
      </c>
      <c r="D33" s="95">
        <v>0</v>
      </c>
      <c r="E33" s="95">
        <v>0</v>
      </c>
      <c r="F33" s="95">
        <v>0</v>
      </c>
      <c r="G33" s="198"/>
    </row>
    <row r="34" spans="1:7" ht="31.5">
      <c r="A34" s="89">
        <v>24</v>
      </c>
      <c r="B34" s="96" t="s">
        <v>402</v>
      </c>
      <c r="C34" s="97" t="s">
        <v>403</v>
      </c>
      <c r="D34" s="95">
        <f>'приложение 4'!G63</f>
        <v>8157229.2300000004</v>
      </c>
      <c r="E34" s="95">
        <f>'приложение 4'!H63</f>
        <v>8157229.2300000004</v>
      </c>
      <c r="F34" s="95">
        <f>'приложение 4'!I63</f>
        <v>8157229.2300000004</v>
      </c>
      <c r="G34" s="198">
        <f t="shared" si="2"/>
        <v>100</v>
      </c>
    </row>
    <row r="35" spans="1:7">
      <c r="A35" s="89">
        <v>25</v>
      </c>
      <c r="B35" s="61" t="s">
        <v>418</v>
      </c>
      <c r="C35" s="102" t="s">
        <v>416</v>
      </c>
      <c r="D35" s="103">
        <f t="shared" ref="D35:E35" si="8">D36+D37</f>
        <v>799840</v>
      </c>
      <c r="E35" s="103">
        <f t="shared" si="8"/>
        <v>799840</v>
      </c>
      <c r="F35" s="103">
        <f t="shared" ref="F35" si="9">F36+F37</f>
        <v>523646.73</v>
      </c>
      <c r="G35" s="198">
        <f t="shared" si="2"/>
        <v>65.468935037007398</v>
      </c>
    </row>
    <row r="36" spans="1:7" ht="30">
      <c r="A36" s="89">
        <v>26</v>
      </c>
      <c r="B36" s="120" t="s">
        <v>419</v>
      </c>
      <c r="C36" s="97" t="s">
        <v>417</v>
      </c>
      <c r="D36" s="95">
        <f>'приложение 4'!G266</f>
        <v>799840</v>
      </c>
      <c r="E36" s="95">
        <f>'приложение 4'!H267</f>
        <v>799840</v>
      </c>
      <c r="F36" s="95">
        <f>'приложение 4'!I267</f>
        <v>523646.73</v>
      </c>
      <c r="G36" s="198">
        <f t="shared" si="2"/>
        <v>65.468935037007398</v>
      </c>
    </row>
    <row r="37" spans="1:7">
      <c r="A37" s="89">
        <v>27</v>
      </c>
      <c r="B37" s="108" t="s">
        <v>422</v>
      </c>
      <c r="C37" s="97" t="s">
        <v>423</v>
      </c>
      <c r="D37" s="95">
        <v>0</v>
      </c>
      <c r="E37" s="95">
        <v>0</v>
      </c>
      <c r="F37" s="95">
        <v>0</v>
      </c>
      <c r="G37" s="198"/>
    </row>
    <row r="38" spans="1:7" ht="31.5" customHeight="1">
      <c r="A38" s="89">
        <v>28</v>
      </c>
      <c r="B38" s="90" t="s">
        <v>112</v>
      </c>
      <c r="C38" s="91" t="s">
        <v>113</v>
      </c>
      <c r="D38" s="98">
        <f t="shared" ref="D38:E38" si="10">D39+D40+D42+D43+D41</f>
        <v>788529711.26999998</v>
      </c>
      <c r="E38" s="98">
        <f t="shared" si="10"/>
        <v>787261311.26999998</v>
      </c>
      <c r="F38" s="98">
        <f t="shared" ref="F38" si="11">F39+F40+F42+F43+F41</f>
        <v>769053582.28000009</v>
      </c>
      <c r="G38" s="198">
        <f t="shared" si="2"/>
        <v>97.687206429511008</v>
      </c>
    </row>
    <row r="39" spans="1:7">
      <c r="A39" s="89">
        <v>29</v>
      </c>
      <c r="B39" s="93" t="s">
        <v>114</v>
      </c>
      <c r="C39" s="94" t="s">
        <v>115</v>
      </c>
      <c r="D39" s="95">
        <f>'приложение 4'!G403</f>
        <v>224234891.43000001</v>
      </c>
      <c r="E39" s="95">
        <f>'приложение 4'!H403</f>
        <v>224256767.01000002</v>
      </c>
      <c r="F39" s="95">
        <f>'приложение 4'!I403</f>
        <v>222750720.69000003</v>
      </c>
      <c r="G39" s="198">
        <f t="shared" si="2"/>
        <v>99.328427703618487</v>
      </c>
    </row>
    <row r="40" spans="1:7">
      <c r="A40" s="89">
        <v>30</v>
      </c>
      <c r="B40" s="93" t="s">
        <v>64</v>
      </c>
      <c r="C40" s="94" t="s">
        <v>116</v>
      </c>
      <c r="D40" s="95">
        <f>'приложение 4'!G426</f>
        <v>455655859.46999997</v>
      </c>
      <c r="E40" s="95">
        <f>'приложение 4'!H426</f>
        <v>454365583.88999999</v>
      </c>
      <c r="F40" s="95">
        <f>'приложение 4'!I426</f>
        <v>439016868.64000005</v>
      </c>
      <c r="G40" s="198">
        <f t="shared" si="2"/>
        <v>96.621945896827484</v>
      </c>
    </row>
    <row r="41" spans="1:7">
      <c r="A41" s="89">
        <v>31</v>
      </c>
      <c r="B41" s="96" t="s">
        <v>159</v>
      </c>
      <c r="C41" s="94" t="s">
        <v>165</v>
      </c>
      <c r="D41" s="95">
        <f>'приложение 4'!G470+'приложение 4'!G525</f>
        <v>70872065.439999998</v>
      </c>
      <c r="E41" s="95">
        <f>'приложение 4'!H470+'приложение 4'!H525</f>
        <v>70872065.439999998</v>
      </c>
      <c r="F41" s="95">
        <f>'приложение 4'!I470+'приложение 4'!I525</f>
        <v>69924717.989999995</v>
      </c>
      <c r="G41" s="198">
        <f t="shared" si="2"/>
        <v>98.663299222170934</v>
      </c>
    </row>
    <row r="42" spans="1:7">
      <c r="A42" s="89">
        <v>32</v>
      </c>
      <c r="B42" s="93" t="s">
        <v>160</v>
      </c>
      <c r="C42" s="94" t="s">
        <v>117</v>
      </c>
      <c r="D42" s="95">
        <f>'приложение 4'!G531+'приложение 4'!G73</f>
        <v>8463881.2199999988</v>
      </c>
      <c r="E42" s="95">
        <f>'приложение 4'!H531+'приложение 4'!H73</f>
        <v>8463881.2199999988</v>
      </c>
      <c r="F42" s="95">
        <f>'приложение 4'!I531+'приложение 4'!I73</f>
        <v>8387924.2199999997</v>
      </c>
      <c r="G42" s="198">
        <f t="shared" si="2"/>
        <v>99.102574835047136</v>
      </c>
    </row>
    <row r="43" spans="1:7">
      <c r="A43" s="89">
        <v>33</v>
      </c>
      <c r="B43" s="93" t="s">
        <v>52</v>
      </c>
      <c r="C43" s="94" t="s">
        <v>118</v>
      </c>
      <c r="D43" s="95">
        <f>'приложение 4'!G490+'приложение 4'!G275</f>
        <v>29303013.710000001</v>
      </c>
      <c r="E43" s="95">
        <f>'приложение 4'!H490+'приложение 4'!H275</f>
        <v>29303013.710000001</v>
      </c>
      <c r="F43" s="95">
        <f>'приложение 4'!I490+'приложение 4'!I275</f>
        <v>28973350.740000002</v>
      </c>
      <c r="G43" s="198">
        <f t="shared" si="2"/>
        <v>98.874986125104613</v>
      </c>
    </row>
    <row r="44" spans="1:7" ht="32.25" customHeight="1">
      <c r="A44" s="89">
        <v>34</v>
      </c>
      <c r="B44" s="90" t="s">
        <v>119</v>
      </c>
      <c r="C44" s="91" t="s">
        <v>120</v>
      </c>
      <c r="D44" s="98">
        <f t="shared" ref="D44:E44" si="12">D45+D46</f>
        <v>81804862.670000002</v>
      </c>
      <c r="E44" s="98">
        <f t="shared" si="12"/>
        <v>84018862.670000002</v>
      </c>
      <c r="F44" s="98">
        <f t="shared" ref="F44" si="13">F45+F46</f>
        <v>82044597.969999999</v>
      </c>
      <c r="G44" s="198">
        <f t="shared" si="2"/>
        <v>97.650212538874399</v>
      </c>
    </row>
    <row r="45" spans="1:7">
      <c r="A45" s="89">
        <v>35</v>
      </c>
      <c r="B45" s="93" t="s">
        <v>67</v>
      </c>
      <c r="C45" s="94" t="s">
        <v>121</v>
      </c>
      <c r="D45" s="95">
        <f>'приложение 4'!G552</f>
        <v>77403662.670000002</v>
      </c>
      <c r="E45" s="95">
        <f>'приложение 4'!H552</f>
        <v>79617662.670000002</v>
      </c>
      <c r="F45" s="95">
        <f>'приложение 4'!I552</f>
        <v>77657341.120000005</v>
      </c>
      <c r="G45" s="198">
        <f t="shared" si="2"/>
        <v>97.537830822633978</v>
      </c>
    </row>
    <row r="46" spans="1:7">
      <c r="A46" s="89">
        <v>36</v>
      </c>
      <c r="B46" s="93" t="s">
        <v>72</v>
      </c>
      <c r="C46" s="94" t="s">
        <v>122</v>
      </c>
      <c r="D46" s="95">
        <f>'приложение 4'!G596</f>
        <v>4401200</v>
      </c>
      <c r="E46" s="95">
        <f>'приложение 4'!H596</f>
        <v>4401200</v>
      </c>
      <c r="F46" s="95">
        <f>'приложение 4'!I596</f>
        <v>4387256.8500000006</v>
      </c>
      <c r="G46" s="198">
        <f t="shared" si="2"/>
        <v>99.683196628192334</v>
      </c>
    </row>
    <row r="47" spans="1:7" ht="31.5" customHeight="1">
      <c r="A47" s="89">
        <v>37</v>
      </c>
      <c r="B47" s="90" t="s">
        <v>123</v>
      </c>
      <c r="C47" s="91" t="s">
        <v>124</v>
      </c>
      <c r="D47" s="98">
        <f t="shared" ref="D47:E47" si="14">D48+D49+D51+D50</f>
        <v>25067401.169999998</v>
      </c>
      <c r="E47" s="98">
        <f t="shared" si="14"/>
        <v>25067401.169999998</v>
      </c>
      <c r="F47" s="98">
        <f t="shared" ref="F47" si="15">F48+F49+F51+F50</f>
        <v>19863023.309999999</v>
      </c>
      <c r="G47" s="198">
        <f t="shared" si="2"/>
        <v>79.23846263637229</v>
      </c>
    </row>
    <row r="48" spans="1:7">
      <c r="A48" s="89">
        <v>38</v>
      </c>
      <c r="B48" s="93" t="s">
        <v>75</v>
      </c>
      <c r="C48" s="94" t="s">
        <v>125</v>
      </c>
      <c r="D48" s="95">
        <f>'приложение 4'!G287</f>
        <v>880000</v>
      </c>
      <c r="E48" s="95">
        <f>'приложение 4'!H288</f>
        <v>880000</v>
      </c>
      <c r="F48" s="95">
        <f>'приложение 4'!I288</f>
        <v>870373.58</v>
      </c>
      <c r="G48" s="198">
        <f t="shared" si="2"/>
        <v>98.906088636363634</v>
      </c>
    </row>
    <row r="49" spans="1:7">
      <c r="A49" s="89">
        <v>39</v>
      </c>
      <c r="B49" s="93" t="s">
        <v>77</v>
      </c>
      <c r="C49" s="94" t="s">
        <v>126</v>
      </c>
      <c r="D49" s="95">
        <f>'приложение 4'!G504+'приложение 4'!G290</f>
        <v>17160181.559999999</v>
      </c>
      <c r="E49" s="95">
        <f>'приложение 4'!H504+'приложение 4'!H290</f>
        <v>17160181.559999999</v>
      </c>
      <c r="F49" s="95">
        <f>'приложение 4'!I504+'приложение 4'!I290</f>
        <v>16039422.609999998</v>
      </c>
      <c r="G49" s="198">
        <f t="shared" si="2"/>
        <v>93.468839790061054</v>
      </c>
    </row>
    <row r="50" spans="1:7">
      <c r="A50" s="89">
        <v>40</v>
      </c>
      <c r="B50" s="96" t="s">
        <v>57</v>
      </c>
      <c r="C50" s="94">
        <v>1004</v>
      </c>
      <c r="D50" s="95">
        <f>'приложение 4'!G515+'приложение 4'!G296</f>
        <v>5560600</v>
      </c>
      <c r="E50" s="95">
        <f>'приложение 4'!H515+'приложение 4'!H296</f>
        <v>5560600</v>
      </c>
      <c r="F50" s="95">
        <f>'приложение 4'!I515+'приложение 4'!I296</f>
        <v>1677915.28</v>
      </c>
      <c r="G50" s="198">
        <f t="shared" si="2"/>
        <v>30.175076070927599</v>
      </c>
    </row>
    <row r="51" spans="1:7">
      <c r="A51" s="89">
        <v>41</v>
      </c>
      <c r="B51" s="93" t="s">
        <v>78</v>
      </c>
      <c r="C51" s="94" t="s">
        <v>127</v>
      </c>
      <c r="D51" s="104">
        <f>'приложение 4'!G302</f>
        <v>1466619.6099999999</v>
      </c>
      <c r="E51" s="104">
        <f>'приложение 4'!H302</f>
        <v>1466619.6099999999</v>
      </c>
      <c r="F51" s="104">
        <f>'приложение 4'!I302</f>
        <v>1275311.8400000001</v>
      </c>
      <c r="G51" s="198">
        <f t="shared" si="2"/>
        <v>86.955869900034969</v>
      </c>
    </row>
    <row r="52" spans="1:7">
      <c r="A52" s="89">
        <v>42</v>
      </c>
      <c r="B52" s="105" t="s">
        <v>251</v>
      </c>
      <c r="C52" s="106">
        <v>1100</v>
      </c>
      <c r="D52" s="107">
        <f>D53+D54</f>
        <v>147500</v>
      </c>
      <c r="E52" s="107">
        <f t="shared" ref="E52:F52" si="16">E53+E54</f>
        <v>147500</v>
      </c>
      <c r="F52" s="107">
        <f t="shared" si="16"/>
        <v>146660</v>
      </c>
      <c r="G52" s="198">
        <f t="shared" si="2"/>
        <v>99.430508474576271</v>
      </c>
    </row>
    <row r="53" spans="1:7">
      <c r="A53" s="89">
        <v>43</v>
      </c>
      <c r="B53" s="96" t="s">
        <v>247</v>
      </c>
      <c r="C53" s="94">
        <v>1101</v>
      </c>
      <c r="D53" s="104">
        <f>'приложение 4'!G611</f>
        <v>98000</v>
      </c>
      <c r="E53" s="104">
        <f>'приложение 4'!H611</f>
        <v>98000</v>
      </c>
      <c r="F53" s="104">
        <f>'приложение 4'!I611</f>
        <v>97160</v>
      </c>
      <c r="G53" s="198">
        <f t="shared" si="2"/>
        <v>99.142857142857139</v>
      </c>
    </row>
    <row r="54" spans="1:7">
      <c r="A54" s="89">
        <v>44</v>
      </c>
      <c r="B54" s="96" t="s">
        <v>468</v>
      </c>
      <c r="C54" s="94">
        <v>1102</v>
      </c>
      <c r="D54" s="104">
        <f>'приложение 4'!G80</f>
        <v>49500</v>
      </c>
      <c r="E54" s="104">
        <f>'приложение 4'!H80</f>
        <v>49500</v>
      </c>
      <c r="F54" s="104">
        <f>'приложение 4'!I80</f>
        <v>49500</v>
      </c>
      <c r="G54" s="198">
        <f t="shared" si="2"/>
        <v>100</v>
      </c>
    </row>
    <row r="55" spans="1:7" ht="31.5">
      <c r="A55" s="89">
        <v>45</v>
      </c>
      <c r="B55" s="105" t="s">
        <v>413</v>
      </c>
      <c r="C55" s="106">
        <v>1300</v>
      </c>
      <c r="D55" s="107">
        <f t="shared" ref="D55:F55" si="17">D56</f>
        <v>6082.1900000000023</v>
      </c>
      <c r="E55" s="107">
        <f t="shared" si="17"/>
        <v>6082.19</v>
      </c>
      <c r="F55" s="107">
        <f t="shared" si="17"/>
        <v>6082.19</v>
      </c>
      <c r="G55" s="198">
        <f t="shared" si="2"/>
        <v>100</v>
      </c>
    </row>
    <row r="56" spans="1:7">
      <c r="A56" s="89">
        <v>46</v>
      </c>
      <c r="B56" s="96" t="s">
        <v>414</v>
      </c>
      <c r="C56" s="94">
        <v>1301</v>
      </c>
      <c r="D56" s="104">
        <f>'приложение 4'!G87</f>
        <v>6082.1900000000023</v>
      </c>
      <c r="E56" s="104">
        <f>'приложение 4'!H87</f>
        <v>6082.19</v>
      </c>
      <c r="F56" s="104">
        <f>'приложение 4'!I87</f>
        <v>6082.19</v>
      </c>
      <c r="G56" s="198">
        <f t="shared" si="2"/>
        <v>100</v>
      </c>
    </row>
    <row r="57" spans="1:7" ht="63">
      <c r="A57" s="89">
        <v>47</v>
      </c>
      <c r="B57" s="90" t="s">
        <v>161</v>
      </c>
      <c r="C57" s="91" t="s">
        <v>128</v>
      </c>
      <c r="D57" s="92">
        <f t="shared" ref="D57:E57" si="18">D58+D59</f>
        <v>190853581.75999999</v>
      </c>
      <c r="E57" s="92">
        <f t="shared" si="18"/>
        <v>190853581.75999999</v>
      </c>
      <c r="F57" s="92">
        <f t="shared" ref="F57" si="19">F58+F59</f>
        <v>188381239.77000001</v>
      </c>
      <c r="G57" s="198">
        <f t="shared" si="2"/>
        <v>98.704587062395831</v>
      </c>
    </row>
    <row r="58" spans="1:7">
      <c r="A58" s="89">
        <v>48</v>
      </c>
      <c r="B58" s="93" t="s">
        <v>162</v>
      </c>
      <c r="C58" s="94" t="s">
        <v>129</v>
      </c>
      <c r="D58" s="104">
        <f>'приложение 4'!G94</f>
        <v>33640960</v>
      </c>
      <c r="E58" s="104">
        <f>'приложение 4'!H94</f>
        <v>33640960</v>
      </c>
      <c r="F58" s="104">
        <f>'приложение 4'!I94</f>
        <v>33640960</v>
      </c>
      <c r="G58" s="198">
        <f t="shared" si="2"/>
        <v>100</v>
      </c>
    </row>
    <row r="59" spans="1:7">
      <c r="A59" s="89">
        <v>49</v>
      </c>
      <c r="B59" s="93" t="s">
        <v>28</v>
      </c>
      <c r="C59" s="94" t="s">
        <v>130</v>
      </c>
      <c r="D59" s="104">
        <f>'приложение 4'!G103</f>
        <v>157212621.75999999</v>
      </c>
      <c r="E59" s="104">
        <f>'приложение 4'!H103</f>
        <v>157212621.75999999</v>
      </c>
      <c r="F59" s="104">
        <f>'приложение 4'!I103</f>
        <v>154740279.77000001</v>
      </c>
      <c r="G59" s="198">
        <f t="shared" si="2"/>
        <v>98.427389631747104</v>
      </c>
    </row>
    <row r="60" spans="1:7" ht="30.75" customHeight="1">
      <c r="A60" s="199" t="s">
        <v>131</v>
      </c>
      <c r="B60" s="199"/>
      <c r="C60" s="91" t="s">
        <v>132</v>
      </c>
      <c r="D60" s="92">
        <f>D11+D19+D21+D23+D30+D38+D44+D47+D52+D57+D55+D35</f>
        <v>1394473533.4600003</v>
      </c>
      <c r="E60" s="92">
        <f t="shared" ref="E60:F60" si="20">E11+E19+E21+E23+E30+E38+E44+E47+E52+E57+E55+E35</f>
        <v>1395419133.4600003</v>
      </c>
      <c r="F60" s="92">
        <f t="shared" si="20"/>
        <v>1357626502.3400002</v>
      </c>
      <c r="G60" s="198">
        <f t="shared" si="2"/>
        <v>97.29166454624341</v>
      </c>
    </row>
    <row r="62" spans="1:7">
      <c r="D62" s="14"/>
      <c r="E62" s="14"/>
      <c r="F62" s="14"/>
    </row>
  </sheetData>
  <mergeCells count="2">
    <mergeCell ref="A60:B60"/>
    <mergeCell ref="A6:F6"/>
  </mergeCells>
  <pageMargins left="0.31496062992125984" right="0.19685039370078741" top="0.74803149606299213" bottom="0.31496062992125984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699"/>
  <sheetViews>
    <sheetView topLeftCell="A298" zoomScaleNormal="100" zoomScaleSheetLayoutView="93" workbookViewId="0">
      <selection activeCell="E319" sqref="E319"/>
    </sheetView>
  </sheetViews>
  <sheetFormatPr defaultColWidth="9.140625" defaultRowHeight="15"/>
  <cols>
    <col min="1" max="1" width="5.5703125" style="59" customWidth="1"/>
    <col min="2" max="2" width="95.140625" style="15" customWidth="1"/>
    <col min="3" max="4" width="11.140625" style="16" customWidth="1"/>
    <col min="5" max="5" width="14" style="16" customWidth="1"/>
    <col min="6" max="6" width="9.140625" style="16" customWidth="1"/>
    <col min="7" max="7" width="20.28515625" style="18" customWidth="1"/>
    <col min="8" max="8" width="20.85546875" style="18" customWidth="1"/>
    <col min="9" max="9" width="20.5703125" style="59" customWidth="1"/>
    <col min="10" max="10" width="19.85546875" style="118" customWidth="1"/>
    <col min="11" max="11" width="19.28515625" style="118" customWidth="1"/>
    <col min="12" max="12" width="16.5703125" style="118" customWidth="1"/>
    <col min="13" max="13" width="16.140625" style="130" customWidth="1"/>
    <col min="14" max="15" width="9.140625" style="59"/>
    <col min="16" max="16" width="13.85546875" style="59" customWidth="1"/>
    <col min="17" max="17" width="9.140625" style="59"/>
    <col min="18" max="18" width="13.85546875" style="59" bestFit="1" customWidth="1"/>
    <col min="19" max="30" width="9.140625" style="59"/>
    <col min="31" max="16384" width="9.140625" style="13"/>
  </cols>
  <sheetData>
    <row r="1" spans="1:11">
      <c r="I1" s="17" t="s">
        <v>459</v>
      </c>
      <c r="J1" s="18"/>
      <c r="K1" s="18"/>
    </row>
    <row r="2" spans="1:11">
      <c r="I2" s="19" t="s">
        <v>150</v>
      </c>
      <c r="J2" s="18"/>
      <c r="K2" s="18"/>
    </row>
    <row r="3" spans="1:11">
      <c r="I3" s="19" t="s">
        <v>244</v>
      </c>
      <c r="J3" s="18"/>
      <c r="K3" s="18"/>
    </row>
    <row r="4" spans="1:11">
      <c r="I4" s="19" t="s">
        <v>453</v>
      </c>
      <c r="J4" s="18"/>
      <c r="K4" s="18"/>
    </row>
    <row r="6" spans="1:11">
      <c r="F6" s="19"/>
    </row>
    <row r="7" spans="1:11" ht="15" customHeight="1">
      <c r="A7" s="201" t="s">
        <v>562</v>
      </c>
      <c r="B7" s="201"/>
      <c r="C7" s="201"/>
      <c r="D7" s="201"/>
      <c r="E7" s="201"/>
      <c r="F7" s="201"/>
      <c r="G7" s="201"/>
      <c r="H7" s="201"/>
      <c r="I7" s="201"/>
    </row>
    <row r="8" spans="1:11">
      <c r="A8" s="201"/>
      <c r="B8" s="201"/>
      <c r="C8" s="201"/>
      <c r="D8" s="201"/>
      <c r="E8" s="201"/>
      <c r="F8" s="201"/>
      <c r="G8" s="201"/>
      <c r="H8" s="201"/>
      <c r="I8" s="201"/>
    </row>
    <row r="9" spans="1:11">
      <c r="A9" s="63"/>
      <c r="B9" s="20"/>
      <c r="C9" s="20"/>
      <c r="D9" s="20"/>
      <c r="E9" s="20"/>
      <c r="F9" s="20"/>
      <c r="G9" s="20"/>
      <c r="H9" s="20"/>
    </row>
    <row r="10" spans="1:11">
      <c r="A10" s="22"/>
      <c r="B10" s="23"/>
      <c r="C10" s="24"/>
      <c r="D10" s="24"/>
      <c r="E10" s="24"/>
      <c r="G10" s="21"/>
      <c r="I10" s="21"/>
      <c r="J10" s="21" t="s">
        <v>546</v>
      </c>
    </row>
    <row r="11" spans="1:11" ht="47.25">
      <c r="A11" s="25" t="s">
        <v>0</v>
      </c>
      <c r="B11" s="25" t="s">
        <v>1</v>
      </c>
      <c r="C11" s="26" t="s">
        <v>2</v>
      </c>
      <c r="D11" s="26" t="s">
        <v>3</v>
      </c>
      <c r="E11" s="26" t="s">
        <v>4</v>
      </c>
      <c r="F11" s="26" t="s">
        <v>5</v>
      </c>
      <c r="G11" s="1" t="s">
        <v>555</v>
      </c>
      <c r="H11" s="1" t="s">
        <v>556</v>
      </c>
      <c r="I11" s="1" t="s">
        <v>557</v>
      </c>
      <c r="J11" s="180" t="s">
        <v>558</v>
      </c>
    </row>
    <row r="12" spans="1:11">
      <c r="A12" s="27"/>
      <c r="B12" s="26" t="s">
        <v>6</v>
      </c>
      <c r="C12" s="26" t="s">
        <v>7</v>
      </c>
      <c r="D12" s="26" t="s">
        <v>8</v>
      </c>
      <c r="E12" s="124" t="s">
        <v>9</v>
      </c>
      <c r="F12" s="26" t="s">
        <v>10</v>
      </c>
      <c r="G12" s="28">
        <v>7</v>
      </c>
      <c r="H12" s="28">
        <v>8</v>
      </c>
      <c r="I12" s="114"/>
      <c r="J12" s="115"/>
    </row>
    <row r="13" spans="1:11" ht="34.5" customHeight="1">
      <c r="A13" s="170">
        <v>1</v>
      </c>
      <c r="B13" s="48" t="s">
        <v>226</v>
      </c>
      <c r="C13" s="46" t="s">
        <v>157</v>
      </c>
      <c r="D13" s="43"/>
      <c r="E13" s="125"/>
      <c r="F13" s="43"/>
      <c r="G13" s="44">
        <f>G14+G35+G42+G49+G93+G86+G72+G79+G62</f>
        <v>233812710.03999999</v>
      </c>
      <c r="H13" s="44">
        <f>H14+H35+H42+H49+H93+H86+H72+H79+H62</f>
        <v>233812710.03999999</v>
      </c>
      <c r="I13" s="44">
        <f>I14+I35+I42+I49+I93+I86+I72+I79+I62</f>
        <v>231046789.66999999</v>
      </c>
      <c r="J13" s="190">
        <f>I13/H13*100</f>
        <v>98.817035921816725</v>
      </c>
    </row>
    <row r="14" spans="1:11">
      <c r="A14" s="170">
        <v>2</v>
      </c>
      <c r="B14" s="64" t="s">
        <v>84</v>
      </c>
      <c r="C14" s="175" t="s">
        <v>157</v>
      </c>
      <c r="D14" s="175" t="s">
        <v>85</v>
      </c>
      <c r="E14" s="112"/>
      <c r="F14" s="170"/>
      <c r="G14" s="29">
        <f>G15+G29</f>
        <v>16965713.41</v>
      </c>
      <c r="H14" s="29">
        <f>H15+H29</f>
        <v>16965713.41</v>
      </c>
      <c r="I14" s="29">
        <f>I15+I29</f>
        <v>16896688.98</v>
      </c>
      <c r="J14" s="115">
        <f>I14/H14*100</f>
        <v>99.593153389239049</v>
      </c>
    </row>
    <row r="15" spans="1:11" ht="30">
      <c r="A15" s="182">
        <v>3</v>
      </c>
      <c r="B15" s="176" t="s">
        <v>11</v>
      </c>
      <c r="C15" s="175" t="s">
        <v>157</v>
      </c>
      <c r="D15" s="175" t="s">
        <v>91</v>
      </c>
      <c r="E15" s="112"/>
      <c r="F15" s="170"/>
      <c r="G15" s="29">
        <f>G16</f>
        <v>16869513.41</v>
      </c>
      <c r="H15" s="29">
        <f t="shared" ref="H15:I15" si="0">H16</f>
        <v>16869513.41</v>
      </c>
      <c r="I15" s="29">
        <f t="shared" si="0"/>
        <v>16800568.75</v>
      </c>
      <c r="J15" s="115">
        <f t="shared" ref="J15:J78" si="1">I15/H15*100</f>
        <v>99.591306172713132</v>
      </c>
    </row>
    <row r="16" spans="1:11">
      <c r="A16" s="182">
        <v>4</v>
      </c>
      <c r="B16" s="171" t="s">
        <v>12</v>
      </c>
      <c r="C16" s="175" t="s">
        <v>157</v>
      </c>
      <c r="D16" s="175" t="s">
        <v>91</v>
      </c>
      <c r="E16" s="34" t="s">
        <v>166</v>
      </c>
      <c r="F16" s="170"/>
      <c r="G16" s="29">
        <f t="shared" ref="G16:I16" si="2">G17</f>
        <v>16869513.41</v>
      </c>
      <c r="H16" s="29">
        <f t="shared" si="2"/>
        <v>16869513.41</v>
      </c>
      <c r="I16" s="29">
        <f t="shared" si="2"/>
        <v>16800568.75</v>
      </c>
      <c r="J16" s="115">
        <f t="shared" si="1"/>
        <v>99.591306172713132</v>
      </c>
    </row>
    <row r="17" spans="1:10">
      <c r="A17" s="182">
        <v>5</v>
      </c>
      <c r="B17" s="171" t="s">
        <v>13</v>
      </c>
      <c r="C17" s="175" t="s">
        <v>157</v>
      </c>
      <c r="D17" s="175" t="s">
        <v>91</v>
      </c>
      <c r="E17" s="34" t="s">
        <v>167</v>
      </c>
      <c r="F17" s="170"/>
      <c r="G17" s="29">
        <f>G18+G26</f>
        <v>16869513.41</v>
      </c>
      <c r="H17" s="29">
        <f t="shared" ref="H17:I17" si="3">H18+H26</f>
        <v>16869513.41</v>
      </c>
      <c r="I17" s="29">
        <f t="shared" si="3"/>
        <v>16800568.75</v>
      </c>
      <c r="J17" s="115">
        <f t="shared" si="1"/>
        <v>99.591306172713132</v>
      </c>
    </row>
    <row r="18" spans="1:10" ht="60">
      <c r="A18" s="182">
        <v>6</v>
      </c>
      <c r="B18" s="177" t="s">
        <v>365</v>
      </c>
      <c r="C18" s="175" t="s">
        <v>157</v>
      </c>
      <c r="D18" s="175" t="s">
        <v>91</v>
      </c>
      <c r="E18" s="34" t="s">
        <v>168</v>
      </c>
      <c r="F18" s="170"/>
      <c r="G18" s="29">
        <f t="shared" ref="G18" si="4">G19+G21+G23</f>
        <v>14424327.92</v>
      </c>
      <c r="H18" s="29">
        <f t="shared" ref="H18" si="5">H19+H21+H23</f>
        <v>14424327.92</v>
      </c>
      <c r="I18" s="29">
        <f t="shared" ref="I18" si="6">I19+I21+I23</f>
        <v>14355442.459999999</v>
      </c>
      <c r="J18" s="115">
        <f t="shared" si="1"/>
        <v>99.52243556592687</v>
      </c>
    </row>
    <row r="19" spans="1:10" ht="45">
      <c r="A19" s="182">
        <v>7</v>
      </c>
      <c r="B19" s="176" t="s">
        <v>14</v>
      </c>
      <c r="C19" s="175" t="s">
        <v>157</v>
      </c>
      <c r="D19" s="175" t="s">
        <v>91</v>
      </c>
      <c r="E19" s="34" t="s">
        <v>168</v>
      </c>
      <c r="F19" s="170">
        <v>100</v>
      </c>
      <c r="G19" s="29">
        <f t="shared" ref="G19:I19" si="7">G20</f>
        <v>12802457.92</v>
      </c>
      <c r="H19" s="29">
        <f t="shared" si="7"/>
        <v>12802457.92</v>
      </c>
      <c r="I19" s="29">
        <f t="shared" si="7"/>
        <v>12740923.939999999</v>
      </c>
      <c r="J19" s="115">
        <f t="shared" si="1"/>
        <v>99.519358076515346</v>
      </c>
    </row>
    <row r="20" spans="1:10">
      <c r="A20" s="182">
        <v>8</v>
      </c>
      <c r="B20" s="176" t="s">
        <v>15</v>
      </c>
      <c r="C20" s="175" t="s">
        <v>157</v>
      </c>
      <c r="D20" s="175" t="s">
        <v>91</v>
      </c>
      <c r="E20" s="34" t="s">
        <v>168</v>
      </c>
      <c r="F20" s="170">
        <v>120</v>
      </c>
      <c r="G20" s="29">
        <f>13318638.7+871103.33-298416.43+344080.32-52948-1380000</f>
        <v>12802457.92</v>
      </c>
      <c r="H20" s="29">
        <v>12802457.92</v>
      </c>
      <c r="I20" s="115">
        <v>12740923.939999999</v>
      </c>
      <c r="J20" s="115">
        <f t="shared" si="1"/>
        <v>99.519358076515346</v>
      </c>
    </row>
    <row r="21" spans="1:10">
      <c r="A21" s="182">
        <v>9</v>
      </c>
      <c r="B21" s="176" t="s">
        <v>19</v>
      </c>
      <c r="C21" s="175" t="s">
        <v>157</v>
      </c>
      <c r="D21" s="175" t="s">
        <v>91</v>
      </c>
      <c r="E21" s="34" t="s">
        <v>168</v>
      </c>
      <c r="F21" s="170">
        <v>200</v>
      </c>
      <c r="G21" s="29">
        <f t="shared" ref="G21:I21" si="8">G22</f>
        <v>1616870</v>
      </c>
      <c r="H21" s="29">
        <f t="shared" si="8"/>
        <v>1616870</v>
      </c>
      <c r="I21" s="29">
        <f t="shared" si="8"/>
        <v>1614518.52</v>
      </c>
      <c r="J21" s="115">
        <f t="shared" si="1"/>
        <v>99.854565920574927</v>
      </c>
    </row>
    <row r="22" spans="1:10">
      <c r="A22" s="182">
        <v>10</v>
      </c>
      <c r="B22" s="176" t="s">
        <v>20</v>
      </c>
      <c r="C22" s="175" t="s">
        <v>157</v>
      </c>
      <c r="D22" s="175" t="s">
        <v>91</v>
      </c>
      <c r="E22" s="34" t="s">
        <v>168</v>
      </c>
      <c r="F22" s="170">
        <v>240</v>
      </c>
      <c r="G22" s="29">
        <f>2210870-300000-294000</f>
        <v>1616870</v>
      </c>
      <c r="H22" s="29">
        <v>1616870</v>
      </c>
      <c r="I22" s="115">
        <v>1614518.52</v>
      </c>
      <c r="J22" s="115">
        <f t="shared" si="1"/>
        <v>99.854565920574927</v>
      </c>
    </row>
    <row r="23" spans="1:10">
      <c r="A23" s="182">
        <v>11</v>
      </c>
      <c r="B23" s="177" t="s">
        <v>31</v>
      </c>
      <c r="C23" s="175" t="s">
        <v>157</v>
      </c>
      <c r="D23" s="175" t="s">
        <v>91</v>
      </c>
      <c r="E23" s="34" t="s">
        <v>168</v>
      </c>
      <c r="F23" s="170">
        <v>800</v>
      </c>
      <c r="G23" s="110">
        <f t="shared" ref="G23:I23" si="9">G24+G25</f>
        <v>5000</v>
      </c>
      <c r="H23" s="110">
        <f t="shared" si="9"/>
        <v>5000</v>
      </c>
      <c r="I23" s="110">
        <f t="shared" si="9"/>
        <v>0</v>
      </c>
      <c r="J23" s="115">
        <f t="shared" si="1"/>
        <v>0</v>
      </c>
    </row>
    <row r="24" spans="1:10">
      <c r="A24" s="182">
        <v>12</v>
      </c>
      <c r="B24" s="177" t="s">
        <v>37</v>
      </c>
      <c r="C24" s="175" t="s">
        <v>157</v>
      </c>
      <c r="D24" s="175" t="s">
        <v>91</v>
      </c>
      <c r="E24" s="34" t="s">
        <v>168</v>
      </c>
      <c r="F24" s="170">
        <v>830</v>
      </c>
      <c r="G24" s="29">
        <v>2500</v>
      </c>
      <c r="H24" s="29">
        <v>2500</v>
      </c>
      <c r="I24" s="115">
        <v>0</v>
      </c>
      <c r="J24" s="115">
        <f t="shared" si="1"/>
        <v>0</v>
      </c>
    </row>
    <row r="25" spans="1:10">
      <c r="A25" s="182">
        <v>13</v>
      </c>
      <c r="B25" s="176" t="s">
        <v>79</v>
      </c>
      <c r="C25" s="175" t="s">
        <v>157</v>
      </c>
      <c r="D25" s="175" t="s">
        <v>91</v>
      </c>
      <c r="E25" s="34" t="s">
        <v>168</v>
      </c>
      <c r="F25" s="170">
        <v>850</v>
      </c>
      <c r="G25" s="29">
        <v>2500</v>
      </c>
      <c r="H25" s="29">
        <v>2500</v>
      </c>
      <c r="I25" s="115">
        <v>0</v>
      </c>
      <c r="J25" s="115">
        <f t="shared" si="1"/>
        <v>0</v>
      </c>
    </row>
    <row r="26" spans="1:10" ht="60">
      <c r="A26" s="182">
        <v>14</v>
      </c>
      <c r="B26" s="177" t="s">
        <v>366</v>
      </c>
      <c r="C26" s="175" t="s">
        <v>157</v>
      </c>
      <c r="D26" s="175" t="s">
        <v>91</v>
      </c>
      <c r="E26" s="34" t="s">
        <v>367</v>
      </c>
      <c r="F26" s="170"/>
      <c r="G26" s="29">
        <f t="shared" ref="G26:I27" si="10">G27</f>
        <v>2445185.4900000002</v>
      </c>
      <c r="H26" s="29">
        <f t="shared" si="10"/>
        <v>2445185.4900000002</v>
      </c>
      <c r="I26" s="29">
        <f t="shared" si="10"/>
        <v>2445126.29</v>
      </c>
      <c r="J26" s="115">
        <f t="shared" si="1"/>
        <v>99.997578915781958</v>
      </c>
    </row>
    <row r="27" spans="1:10" ht="45">
      <c r="A27" s="182">
        <v>15</v>
      </c>
      <c r="B27" s="176" t="s">
        <v>14</v>
      </c>
      <c r="C27" s="175" t="s">
        <v>157</v>
      </c>
      <c r="D27" s="175" t="s">
        <v>91</v>
      </c>
      <c r="E27" s="34" t="s">
        <v>367</v>
      </c>
      <c r="F27" s="170">
        <v>100</v>
      </c>
      <c r="G27" s="29">
        <f t="shared" si="10"/>
        <v>2445185.4900000002</v>
      </c>
      <c r="H27" s="29">
        <f t="shared" si="10"/>
        <v>2445185.4900000002</v>
      </c>
      <c r="I27" s="29">
        <f t="shared" si="10"/>
        <v>2445126.29</v>
      </c>
      <c r="J27" s="115">
        <f t="shared" si="1"/>
        <v>99.997578915781958</v>
      </c>
    </row>
    <row r="28" spans="1:10">
      <c r="A28" s="182">
        <v>16</v>
      </c>
      <c r="B28" s="176" t="s">
        <v>15</v>
      </c>
      <c r="C28" s="175" t="s">
        <v>157</v>
      </c>
      <c r="D28" s="175" t="s">
        <v>91</v>
      </c>
      <c r="E28" s="34" t="s">
        <v>367</v>
      </c>
      <c r="F28" s="170">
        <v>120</v>
      </c>
      <c r="G28" s="29">
        <f>2450640+33845.49-39300</f>
        <v>2445185.4900000002</v>
      </c>
      <c r="H28" s="29">
        <v>2445185.4900000002</v>
      </c>
      <c r="I28" s="115">
        <v>2445126.29</v>
      </c>
      <c r="J28" s="115">
        <f t="shared" si="1"/>
        <v>99.997578915781958</v>
      </c>
    </row>
    <row r="29" spans="1:10">
      <c r="A29" s="182">
        <v>17</v>
      </c>
      <c r="B29" s="177" t="s">
        <v>34</v>
      </c>
      <c r="C29" s="175" t="s">
        <v>157</v>
      </c>
      <c r="D29" s="175" t="s">
        <v>93</v>
      </c>
      <c r="E29" s="112"/>
      <c r="F29" s="170"/>
      <c r="G29" s="29">
        <f t="shared" ref="G29:I29" si="11">G30</f>
        <v>96200</v>
      </c>
      <c r="H29" s="29">
        <f t="shared" si="11"/>
        <v>96200</v>
      </c>
      <c r="I29" s="29">
        <f t="shared" si="11"/>
        <v>96120.23</v>
      </c>
      <c r="J29" s="115">
        <f t="shared" si="1"/>
        <v>99.917079002079007</v>
      </c>
    </row>
    <row r="30" spans="1:10">
      <c r="A30" s="182">
        <v>18</v>
      </c>
      <c r="B30" s="171" t="s">
        <v>22</v>
      </c>
      <c r="C30" s="175" t="s">
        <v>157</v>
      </c>
      <c r="D30" s="175" t="s">
        <v>93</v>
      </c>
      <c r="E30" s="112">
        <v>9200000000</v>
      </c>
      <c r="F30" s="170"/>
      <c r="G30" s="29">
        <f t="shared" ref="G30:H30" si="12">G32</f>
        <v>96200</v>
      </c>
      <c r="H30" s="29">
        <f t="shared" si="12"/>
        <v>96200</v>
      </c>
      <c r="I30" s="29">
        <f t="shared" ref="I30" si="13">I32</f>
        <v>96120.23</v>
      </c>
      <c r="J30" s="115">
        <f t="shared" si="1"/>
        <v>99.917079002079007</v>
      </c>
    </row>
    <row r="31" spans="1:10">
      <c r="A31" s="182">
        <v>19</v>
      </c>
      <c r="B31" s="171" t="s">
        <v>259</v>
      </c>
      <c r="C31" s="175" t="s">
        <v>157</v>
      </c>
      <c r="D31" s="175" t="s">
        <v>93</v>
      </c>
      <c r="E31" s="112">
        <v>9210000000</v>
      </c>
      <c r="F31" s="170"/>
      <c r="G31" s="29">
        <f t="shared" ref="G31:I32" si="14">G32</f>
        <v>96200</v>
      </c>
      <c r="H31" s="29">
        <f t="shared" si="14"/>
        <v>96200</v>
      </c>
      <c r="I31" s="29">
        <f t="shared" si="14"/>
        <v>96120.23</v>
      </c>
      <c r="J31" s="115">
        <f t="shared" si="1"/>
        <v>99.917079002079007</v>
      </c>
    </row>
    <row r="32" spans="1:10" ht="45">
      <c r="A32" s="182">
        <v>20</v>
      </c>
      <c r="B32" s="171" t="s">
        <v>397</v>
      </c>
      <c r="C32" s="175" t="s">
        <v>157</v>
      </c>
      <c r="D32" s="175" t="s">
        <v>93</v>
      </c>
      <c r="E32" s="112">
        <v>9210075140</v>
      </c>
      <c r="F32" s="170"/>
      <c r="G32" s="29">
        <f t="shared" si="14"/>
        <v>96200</v>
      </c>
      <c r="H32" s="29">
        <f t="shared" si="14"/>
        <v>96200</v>
      </c>
      <c r="I32" s="29">
        <f t="shared" si="14"/>
        <v>96120.23</v>
      </c>
      <c r="J32" s="115">
        <f t="shared" si="1"/>
        <v>99.917079002079007</v>
      </c>
    </row>
    <row r="33" spans="1:10">
      <c r="A33" s="182">
        <v>21</v>
      </c>
      <c r="B33" s="176" t="s">
        <v>17</v>
      </c>
      <c r="C33" s="175" t="s">
        <v>157</v>
      </c>
      <c r="D33" s="175" t="s">
        <v>93</v>
      </c>
      <c r="E33" s="112">
        <v>9210075140</v>
      </c>
      <c r="F33" s="170">
        <v>500</v>
      </c>
      <c r="G33" s="29">
        <f t="shared" ref="G33:I33" si="15">G34</f>
        <v>96200</v>
      </c>
      <c r="H33" s="29">
        <f t="shared" si="15"/>
        <v>96200</v>
      </c>
      <c r="I33" s="29">
        <f t="shared" si="15"/>
        <v>96120.23</v>
      </c>
      <c r="J33" s="115">
        <f t="shared" si="1"/>
        <v>99.917079002079007</v>
      </c>
    </row>
    <row r="34" spans="1:10">
      <c r="A34" s="182">
        <v>22</v>
      </c>
      <c r="B34" s="176" t="s">
        <v>18</v>
      </c>
      <c r="C34" s="175" t="s">
        <v>157</v>
      </c>
      <c r="D34" s="175" t="s">
        <v>93</v>
      </c>
      <c r="E34" s="112">
        <v>9210075140</v>
      </c>
      <c r="F34" s="170">
        <v>530</v>
      </c>
      <c r="G34" s="29">
        <f>94100+2100</f>
        <v>96200</v>
      </c>
      <c r="H34" s="29">
        <v>96200</v>
      </c>
      <c r="I34" s="115">
        <v>96120.23</v>
      </c>
      <c r="J34" s="115">
        <f t="shared" si="1"/>
        <v>99.917079002079007</v>
      </c>
    </row>
    <row r="35" spans="1:10">
      <c r="A35" s="182">
        <v>23</v>
      </c>
      <c r="B35" s="64" t="s">
        <v>94</v>
      </c>
      <c r="C35" s="175" t="s">
        <v>157</v>
      </c>
      <c r="D35" s="175" t="s">
        <v>95</v>
      </c>
      <c r="E35" s="112"/>
      <c r="F35" s="170"/>
      <c r="G35" s="29">
        <f t="shared" ref="G35:I35" si="16">G36</f>
        <v>2277500</v>
      </c>
      <c r="H35" s="29">
        <f t="shared" si="16"/>
        <v>2277500</v>
      </c>
      <c r="I35" s="29">
        <f t="shared" si="16"/>
        <v>2277500</v>
      </c>
      <c r="J35" s="115">
        <f t="shared" si="1"/>
        <v>100</v>
      </c>
    </row>
    <row r="36" spans="1:10">
      <c r="A36" s="182">
        <v>24</v>
      </c>
      <c r="B36" s="176" t="s">
        <v>21</v>
      </c>
      <c r="C36" s="175" t="s">
        <v>157</v>
      </c>
      <c r="D36" s="175" t="s">
        <v>96</v>
      </c>
      <c r="E36" s="112"/>
      <c r="F36" s="170"/>
      <c r="G36" s="29">
        <f t="shared" ref="G36" si="17">G39</f>
        <v>2277500</v>
      </c>
      <c r="H36" s="29">
        <f t="shared" ref="H36:I36" si="18">H39</f>
        <v>2277500</v>
      </c>
      <c r="I36" s="29">
        <f t="shared" si="18"/>
        <v>2277500</v>
      </c>
      <c r="J36" s="115">
        <f t="shared" si="1"/>
        <v>100</v>
      </c>
    </row>
    <row r="37" spans="1:10">
      <c r="A37" s="182">
        <v>25</v>
      </c>
      <c r="B37" s="176" t="s">
        <v>22</v>
      </c>
      <c r="C37" s="175" t="s">
        <v>157</v>
      </c>
      <c r="D37" s="175" t="s">
        <v>96</v>
      </c>
      <c r="E37" s="112">
        <v>9200000000</v>
      </c>
      <c r="F37" s="170"/>
      <c r="G37" s="29">
        <f>G39</f>
        <v>2277500</v>
      </c>
      <c r="H37" s="29">
        <f>H39</f>
        <v>2277500</v>
      </c>
      <c r="I37" s="29">
        <f>I39</f>
        <v>2277500</v>
      </c>
      <c r="J37" s="115">
        <f t="shared" si="1"/>
        <v>100</v>
      </c>
    </row>
    <row r="38" spans="1:10">
      <c r="A38" s="182">
        <v>26</v>
      </c>
      <c r="B38" s="171" t="s">
        <v>259</v>
      </c>
      <c r="C38" s="175" t="s">
        <v>157</v>
      </c>
      <c r="D38" s="175" t="s">
        <v>96</v>
      </c>
      <c r="E38" s="112">
        <v>9210000000</v>
      </c>
      <c r="F38" s="170"/>
      <c r="G38" s="29">
        <f t="shared" ref="G38:I38" si="19">G39</f>
        <v>2277500</v>
      </c>
      <c r="H38" s="29">
        <f t="shared" si="19"/>
        <v>2277500</v>
      </c>
      <c r="I38" s="29">
        <f t="shared" si="19"/>
        <v>2277500</v>
      </c>
      <c r="J38" s="115">
        <f t="shared" si="1"/>
        <v>100</v>
      </c>
    </row>
    <row r="39" spans="1:10" ht="30">
      <c r="A39" s="182">
        <v>27</v>
      </c>
      <c r="B39" s="176" t="s">
        <v>368</v>
      </c>
      <c r="C39" s="175" t="s">
        <v>157</v>
      </c>
      <c r="D39" s="175" t="s">
        <v>96</v>
      </c>
      <c r="E39" s="112">
        <v>9210051180</v>
      </c>
      <c r="F39" s="170"/>
      <c r="G39" s="29">
        <f t="shared" ref="G39:I40" si="20">G40</f>
        <v>2277500</v>
      </c>
      <c r="H39" s="29">
        <f t="shared" si="20"/>
        <v>2277500</v>
      </c>
      <c r="I39" s="29">
        <f t="shared" si="20"/>
        <v>2277500</v>
      </c>
      <c r="J39" s="115">
        <f t="shared" si="1"/>
        <v>100</v>
      </c>
    </row>
    <row r="40" spans="1:10">
      <c r="A40" s="182">
        <v>28</v>
      </c>
      <c r="B40" s="176" t="s">
        <v>17</v>
      </c>
      <c r="C40" s="175" t="s">
        <v>157</v>
      </c>
      <c r="D40" s="175" t="s">
        <v>96</v>
      </c>
      <c r="E40" s="112">
        <v>9210051180</v>
      </c>
      <c r="F40" s="170">
        <v>500</v>
      </c>
      <c r="G40" s="29">
        <f t="shared" si="20"/>
        <v>2277500</v>
      </c>
      <c r="H40" s="29">
        <f t="shared" si="20"/>
        <v>2277500</v>
      </c>
      <c r="I40" s="29">
        <f t="shared" si="20"/>
        <v>2277500</v>
      </c>
      <c r="J40" s="115">
        <f t="shared" si="1"/>
        <v>100</v>
      </c>
    </row>
    <row r="41" spans="1:10">
      <c r="A41" s="182">
        <v>29</v>
      </c>
      <c r="B41" s="176" t="s">
        <v>18</v>
      </c>
      <c r="C41" s="175" t="s">
        <v>157</v>
      </c>
      <c r="D41" s="175" t="s">
        <v>96</v>
      </c>
      <c r="E41" s="112">
        <v>9210051180</v>
      </c>
      <c r="F41" s="170">
        <v>530</v>
      </c>
      <c r="G41" s="29">
        <v>2277500</v>
      </c>
      <c r="H41" s="29">
        <v>2277500</v>
      </c>
      <c r="I41" s="115">
        <v>2277500</v>
      </c>
      <c r="J41" s="115">
        <f t="shared" si="1"/>
        <v>100</v>
      </c>
    </row>
    <row r="42" spans="1:10">
      <c r="A42" s="182">
        <v>30</v>
      </c>
      <c r="B42" s="176" t="s">
        <v>97</v>
      </c>
      <c r="C42" s="175" t="s">
        <v>157</v>
      </c>
      <c r="D42" s="175" t="s">
        <v>98</v>
      </c>
      <c r="E42" s="112"/>
      <c r="F42" s="170"/>
      <c r="G42" s="29">
        <f t="shared" ref="G42:G47" si="21">G43</f>
        <v>2701800</v>
      </c>
      <c r="H42" s="29">
        <f t="shared" ref="H42:I42" si="22">H43</f>
        <v>2701800</v>
      </c>
      <c r="I42" s="29">
        <f t="shared" si="22"/>
        <v>2701800</v>
      </c>
      <c r="J42" s="115">
        <f t="shared" si="1"/>
        <v>100</v>
      </c>
    </row>
    <row r="43" spans="1:10" ht="30.6" customHeight="1">
      <c r="A43" s="182">
        <v>31</v>
      </c>
      <c r="B43" s="176" t="s">
        <v>506</v>
      </c>
      <c r="C43" s="175" t="s">
        <v>157</v>
      </c>
      <c r="D43" s="175" t="s">
        <v>378</v>
      </c>
      <c r="E43" s="112"/>
      <c r="F43" s="170"/>
      <c r="G43" s="29">
        <f t="shared" si="21"/>
        <v>2701800</v>
      </c>
      <c r="H43" s="29">
        <f t="shared" ref="H43:I43" si="23">H44</f>
        <v>2701800</v>
      </c>
      <c r="I43" s="29">
        <f t="shared" si="23"/>
        <v>2701800</v>
      </c>
      <c r="J43" s="115">
        <f t="shared" si="1"/>
        <v>100</v>
      </c>
    </row>
    <row r="44" spans="1:10" ht="34.9" customHeight="1">
      <c r="A44" s="182">
        <v>32</v>
      </c>
      <c r="B44" s="176" t="s">
        <v>507</v>
      </c>
      <c r="C44" s="175" t="s">
        <v>157</v>
      </c>
      <c r="D44" s="175" t="s">
        <v>378</v>
      </c>
      <c r="E44" s="34" t="s">
        <v>185</v>
      </c>
      <c r="F44" s="170"/>
      <c r="G44" s="29">
        <f t="shared" si="21"/>
        <v>2701800</v>
      </c>
      <c r="H44" s="29">
        <f t="shared" ref="H44:I44" si="24">H45</f>
        <v>2701800</v>
      </c>
      <c r="I44" s="29">
        <f t="shared" si="24"/>
        <v>2701800</v>
      </c>
      <c r="J44" s="115">
        <f t="shared" si="1"/>
        <v>100</v>
      </c>
    </row>
    <row r="45" spans="1:10" ht="30">
      <c r="A45" s="182">
        <v>33</v>
      </c>
      <c r="B45" s="176" t="s">
        <v>292</v>
      </c>
      <c r="C45" s="175" t="s">
        <v>157</v>
      </c>
      <c r="D45" s="175" t="s">
        <v>378</v>
      </c>
      <c r="E45" s="34" t="s">
        <v>186</v>
      </c>
      <c r="F45" s="170"/>
      <c r="G45" s="29">
        <f t="shared" si="21"/>
        <v>2701800</v>
      </c>
      <c r="H45" s="29">
        <f t="shared" ref="H45:I45" si="25">H46</f>
        <v>2701800</v>
      </c>
      <c r="I45" s="29">
        <f t="shared" si="25"/>
        <v>2701800</v>
      </c>
      <c r="J45" s="115">
        <f t="shared" si="1"/>
        <v>100</v>
      </c>
    </row>
    <row r="46" spans="1:10" ht="60">
      <c r="A46" s="182">
        <v>34</v>
      </c>
      <c r="B46" s="176" t="s">
        <v>508</v>
      </c>
      <c r="C46" s="175" t="s">
        <v>157</v>
      </c>
      <c r="D46" s="175" t="s">
        <v>378</v>
      </c>
      <c r="E46" s="34" t="s">
        <v>509</v>
      </c>
      <c r="F46" s="170"/>
      <c r="G46" s="29">
        <f t="shared" si="21"/>
        <v>2701800</v>
      </c>
      <c r="H46" s="29">
        <f t="shared" ref="H46:I46" si="26">H47</f>
        <v>2701800</v>
      </c>
      <c r="I46" s="29">
        <f t="shared" si="26"/>
        <v>2701800</v>
      </c>
      <c r="J46" s="115">
        <f t="shared" si="1"/>
        <v>100</v>
      </c>
    </row>
    <row r="47" spans="1:10">
      <c r="A47" s="182">
        <v>35</v>
      </c>
      <c r="B47" s="176" t="s">
        <v>501</v>
      </c>
      <c r="C47" s="175" t="s">
        <v>157</v>
      </c>
      <c r="D47" s="175" t="s">
        <v>378</v>
      </c>
      <c r="E47" s="34" t="s">
        <v>509</v>
      </c>
      <c r="F47" s="170">
        <v>500</v>
      </c>
      <c r="G47" s="29">
        <f t="shared" si="21"/>
        <v>2701800</v>
      </c>
      <c r="H47" s="29">
        <f t="shared" ref="H47:I47" si="27">H48</f>
        <v>2701800</v>
      </c>
      <c r="I47" s="29">
        <f t="shared" si="27"/>
        <v>2701800</v>
      </c>
      <c r="J47" s="115">
        <f t="shared" si="1"/>
        <v>100</v>
      </c>
    </row>
    <row r="48" spans="1:10">
      <c r="A48" s="182">
        <v>36</v>
      </c>
      <c r="B48" s="176" t="s">
        <v>502</v>
      </c>
      <c r="C48" s="175" t="s">
        <v>157</v>
      </c>
      <c r="D48" s="175" t="s">
        <v>378</v>
      </c>
      <c r="E48" s="34" t="s">
        <v>509</v>
      </c>
      <c r="F48" s="170">
        <v>540</v>
      </c>
      <c r="G48" s="29">
        <v>2701800</v>
      </c>
      <c r="H48" s="29">
        <v>2701800</v>
      </c>
      <c r="I48" s="115">
        <v>2701800</v>
      </c>
      <c r="J48" s="115">
        <f t="shared" si="1"/>
        <v>100</v>
      </c>
    </row>
    <row r="49" spans="1:13" s="59" customFormat="1">
      <c r="A49" s="182">
        <v>37</v>
      </c>
      <c r="B49" s="64" t="s">
        <v>99</v>
      </c>
      <c r="C49" s="175" t="s">
        <v>157</v>
      </c>
      <c r="D49" s="175" t="s">
        <v>100</v>
      </c>
      <c r="E49" s="112"/>
      <c r="F49" s="170"/>
      <c r="G49" s="29">
        <f t="shared" ref="G49:I49" si="28">G50+G56</f>
        <v>12701303.449999999</v>
      </c>
      <c r="H49" s="29">
        <f t="shared" si="28"/>
        <v>12701303.449999999</v>
      </c>
      <c r="I49" s="29">
        <f t="shared" si="28"/>
        <v>12476749.799999999</v>
      </c>
      <c r="J49" s="115">
        <f t="shared" si="1"/>
        <v>98.232042475924004</v>
      </c>
      <c r="K49" s="118"/>
      <c r="L49" s="118"/>
      <c r="M49" s="130"/>
    </row>
    <row r="50" spans="1:13" s="59" customFormat="1">
      <c r="A50" s="182">
        <v>38</v>
      </c>
      <c r="B50" s="31" t="s">
        <v>23</v>
      </c>
      <c r="C50" s="175" t="s">
        <v>157</v>
      </c>
      <c r="D50" s="65" t="s">
        <v>102</v>
      </c>
      <c r="E50" s="126"/>
      <c r="F50" s="170"/>
      <c r="G50" s="29">
        <f t="shared" ref="G50:I53" si="29">G51</f>
        <v>200000</v>
      </c>
      <c r="H50" s="29">
        <f t="shared" si="29"/>
        <v>200000</v>
      </c>
      <c r="I50" s="29">
        <f t="shared" si="29"/>
        <v>199989.37</v>
      </c>
      <c r="J50" s="115">
        <f t="shared" si="1"/>
        <v>99.99468499999999</v>
      </c>
      <c r="K50" s="118"/>
      <c r="L50" s="118"/>
      <c r="M50" s="130"/>
    </row>
    <row r="51" spans="1:13" s="59" customFormat="1">
      <c r="A51" s="182">
        <v>39</v>
      </c>
      <c r="B51" s="122" t="s">
        <v>283</v>
      </c>
      <c r="C51" s="175" t="s">
        <v>157</v>
      </c>
      <c r="D51" s="65" t="s">
        <v>102</v>
      </c>
      <c r="E51" s="34" t="s">
        <v>176</v>
      </c>
      <c r="F51" s="170"/>
      <c r="G51" s="29">
        <f t="shared" si="29"/>
        <v>200000</v>
      </c>
      <c r="H51" s="29">
        <f t="shared" si="29"/>
        <v>200000</v>
      </c>
      <c r="I51" s="29">
        <f t="shared" si="29"/>
        <v>199989.37</v>
      </c>
      <c r="J51" s="115">
        <f t="shared" si="1"/>
        <v>99.99468499999999</v>
      </c>
      <c r="K51" s="118"/>
      <c r="L51" s="118"/>
      <c r="M51" s="130"/>
    </row>
    <row r="52" spans="1:13" s="59" customFormat="1">
      <c r="A52" s="182">
        <v>40</v>
      </c>
      <c r="B52" s="122" t="s">
        <v>38</v>
      </c>
      <c r="C52" s="175" t="s">
        <v>157</v>
      </c>
      <c r="D52" s="65" t="s">
        <v>102</v>
      </c>
      <c r="E52" s="34" t="s">
        <v>291</v>
      </c>
      <c r="F52" s="170"/>
      <c r="G52" s="29">
        <f t="shared" si="29"/>
        <v>200000</v>
      </c>
      <c r="H52" s="29">
        <f t="shared" si="29"/>
        <v>200000</v>
      </c>
      <c r="I52" s="29">
        <f t="shared" si="29"/>
        <v>199989.37</v>
      </c>
      <c r="J52" s="115">
        <f t="shared" si="1"/>
        <v>99.99468499999999</v>
      </c>
      <c r="K52" s="118"/>
      <c r="L52" s="118"/>
      <c r="M52" s="130"/>
    </row>
    <row r="53" spans="1:13" s="59" customFormat="1" ht="30">
      <c r="A53" s="182">
        <v>41</v>
      </c>
      <c r="B53" s="31" t="s">
        <v>284</v>
      </c>
      <c r="C53" s="175" t="s">
        <v>157</v>
      </c>
      <c r="D53" s="65" t="s">
        <v>102</v>
      </c>
      <c r="E53" s="34" t="s">
        <v>260</v>
      </c>
      <c r="F53" s="170"/>
      <c r="G53" s="29">
        <f t="shared" si="29"/>
        <v>200000</v>
      </c>
      <c r="H53" s="29">
        <f t="shared" si="29"/>
        <v>200000</v>
      </c>
      <c r="I53" s="29">
        <f t="shared" si="29"/>
        <v>199989.37</v>
      </c>
      <c r="J53" s="115">
        <f t="shared" si="1"/>
        <v>99.99468499999999</v>
      </c>
      <c r="K53" s="118"/>
      <c r="L53" s="118"/>
      <c r="M53" s="130"/>
    </row>
    <row r="54" spans="1:13" s="59" customFormat="1">
      <c r="A54" s="182">
        <v>42</v>
      </c>
      <c r="B54" s="176" t="s">
        <v>17</v>
      </c>
      <c r="C54" s="175" t="s">
        <v>157</v>
      </c>
      <c r="D54" s="65" t="s">
        <v>102</v>
      </c>
      <c r="E54" s="34" t="s">
        <v>260</v>
      </c>
      <c r="F54" s="170">
        <v>500</v>
      </c>
      <c r="G54" s="29">
        <f t="shared" ref="G54:I54" si="30">G55</f>
        <v>200000</v>
      </c>
      <c r="H54" s="29">
        <f t="shared" si="30"/>
        <v>200000</v>
      </c>
      <c r="I54" s="29">
        <f t="shared" si="30"/>
        <v>199989.37</v>
      </c>
      <c r="J54" s="115">
        <f t="shared" si="1"/>
        <v>99.99468499999999</v>
      </c>
      <c r="K54" s="118"/>
      <c r="L54" s="118"/>
      <c r="M54" s="130"/>
    </row>
    <row r="55" spans="1:13" s="59" customFormat="1">
      <c r="A55" s="182">
        <v>43</v>
      </c>
      <c r="B55" s="176" t="s">
        <v>24</v>
      </c>
      <c r="C55" s="175" t="s">
        <v>157</v>
      </c>
      <c r="D55" s="65" t="s">
        <v>102</v>
      </c>
      <c r="E55" s="34" t="s">
        <v>260</v>
      </c>
      <c r="F55" s="170">
        <v>540</v>
      </c>
      <c r="G55" s="29">
        <v>200000</v>
      </c>
      <c r="H55" s="29">
        <v>200000</v>
      </c>
      <c r="I55" s="115">
        <v>199989.37</v>
      </c>
      <c r="J55" s="115">
        <f t="shared" si="1"/>
        <v>99.99468499999999</v>
      </c>
      <c r="K55" s="118"/>
      <c r="L55" s="118"/>
      <c r="M55" s="130"/>
    </row>
    <row r="56" spans="1:13" s="59" customFormat="1">
      <c r="A56" s="182">
        <v>44</v>
      </c>
      <c r="B56" s="177" t="s">
        <v>105</v>
      </c>
      <c r="C56" s="175" t="s">
        <v>157</v>
      </c>
      <c r="D56" s="65" t="s">
        <v>106</v>
      </c>
      <c r="E56" s="112"/>
      <c r="F56" s="170"/>
      <c r="G56" s="29">
        <f t="shared" ref="G56:I58" si="31">G57</f>
        <v>12501303.449999999</v>
      </c>
      <c r="H56" s="29">
        <f t="shared" si="31"/>
        <v>12501303.449999999</v>
      </c>
      <c r="I56" s="29">
        <f t="shared" si="31"/>
        <v>12276760.43</v>
      </c>
      <c r="J56" s="115">
        <f t="shared" si="1"/>
        <v>98.203843136053152</v>
      </c>
      <c r="K56" s="118"/>
      <c r="L56" s="118"/>
      <c r="M56" s="130"/>
    </row>
    <row r="57" spans="1:13" s="59" customFormat="1">
      <c r="A57" s="182">
        <v>45</v>
      </c>
      <c r="B57" s="177" t="s">
        <v>42</v>
      </c>
      <c r="C57" s="175" t="s">
        <v>157</v>
      </c>
      <c r="D57" s="65" t="s">
        <v>106</v>
      </c>
      <c r="E57" s="112">
        <v>1000000000</v>
      </c>
      <c r="F57" s="170"/>
      <c r="G57" s="29">
        <f>G58</f>
        <v>12501303.449999999</v>
      </c>
      <c r="H57" s="29">
        <f t="shared" si="31"/>
        <v>12501303.449999999</v>
      </c>
      <c r="I57" s="29">
        <f t="shared" si="31"/>
        <v>12276760.43</v>
      </c>
      <c r="J57" s="115">
        <f t="shared" si="1"/>
        <v>98.203843136053152</v>
      </c>
      <c r="K57" s="118"/>
      <c r="L57" s="118"/>
      <c r="M57" s="130"/>
    </row>
    <row r="58" spans="1:13" s="59" customFormat="1">
      <c r="A58" s="182">
        <v>46</v>
      </c>
      <c r="B58" s="177" t="s">
        <v>252</v>
      </c>
      <c r="C58" s="175" t="s">
        <v>157</v>
      </c>
      <c r="D58" s="65" t="s">
        <v>106</v>
      </c>
      <c r="E58" s="112">
        <v>1040000000</v>
      </c>
      <c r="F58" s="170"/>
      <c r="G58" s="29">
        <f>G59</f>
        <v>12501303.449999999</v>
      </c>
      <c r="H58" s="29">
        <f t="shared" si="31"/>
        <v>12501303.449999999</v>
      </c>
      <c r="I58" s="29">
        <f t="shared" si="31"/>
        <v>12276760.43</v>
      </c>
      <c r="J58" s="115">
        <f t="shared" si="1"/>
        <v>98.203843136053152</v>
      </c>
      <c r="K58" s="118"/>
      <c r="L58" s="118"/>
      <c r="M58" s="130"/>
    </row>
    <row r="59" spans="1:13" s="59" customFormat="1" ht="60">
      <c r="A59" s="182">
        <v>47</v>
      </c>
      <c r="B59" s="177" t="s">
        <v>463</v>
      </c>
      <c r="C59" s="175" t="s">
        <v>157</v>
      </c>
      <c r="D59" s="65" t="s">
        <v>106</v>
      </c>
      <c r="E59" s="112">
        <v>1040082230</v>
      </c>
      <c r="F59" s="170"/>
      <c r="G59" s="29">
        <f t="shared" ref="G59:I60" si="32">G60</f>
        <v>12501303.449999999</v>
      </c>
      <c r="H59" s="29">
        <f t="shared" si="32"/>
        <v>12501303.449999999</v>
      </c>
      <c r="I59" s="29">
        <f t="shared" si="32"/>
        <v>12276760.43</v>
      </c>
      <c r="J59" s="115">
        <f t="shared" si="1"/>
        <v>98.203843136053152</v>
      </c>
      <c r="K59" s="118"/>
      <c r="L59" s="118"/>
      <c r="M59" s="130"/>
    </row>
    <row r="60" spans="1:13" s="59" customFormat="1">
      <c r="A60" s="182">
        <v>48</v>
      </c>
      <c r="B60" s="176" t="s">
        <v>17</v>
      </c>
      <c r="C60" s="175" t="s">
        <v>157</v>
      </c>
      <c r="D60" s="65" t="s">
        <v>106</v>
      </c>
      <c r="E60" s="112">
        <v>1040082230</v>
      </c>
      <c r="F60" s="170">
        <v>500</v>
      </c>
      <c r="G60" s="29">
        <f t="shared" si="32"/>
        <v>12501303.449999999</v>
      </c>
      <c r="H60" s="29">
        <f t="shared" si="32"/>
        <v>12501303.449999999</v>
      </c>
      <c r="I60" s="29">
        <f t="shared" si="32"/>
        <v>12276760.43</v>
      </c>
      <c r="J60" s="115">
        <f t="shared" si="1"/>
        <v>98.203843136053152</v>
      </c>
      <c r="K60" s="118"/>
      <c r="L60" s="118"/>
      <c r="M60" s="130"/>
    </row>
    <row r="61" spans="1:13" s="59" customFormat="1">
      <c r="A61" s="182">
        <v>49</v>
      </c>
      <c r="B61" s="176" t="s">
        <v>24</v>
      </c>
      <c r="C61" s="175" t="s">
        <v>157</v>
      </c>
      <c r="D61" s="65" t="s">
        <v>106</v>
      </c>
      <c r="E61" s="112">
        <v>1040082230</v>
      </c>
      <c r="F61" s="170">
        <v>540</v>
      </c>
      <c r="G61" s="29">
        <f>13856912-56614.55-1298994</f>
        <v>12501303.449999999</v>
      </c>
      <c r="H61" s="29">
        <v>12501303.449999999</v>
      </c>
      <c r="I61" s="115">
        <v>12276760.43</v>
      </c>
      <c r="J61" s="115">
        <f t="shared" si="1"/>
        <v>98.203843136053152</v>
      </c>
      <c r="K61" s="118"/>
      <c r="L61" s="118"/>
      <c r="M61" s="130"/>
    </row>
    <row r="62" spans="1:13" s="59" customFormat="1">
      <c r="A62" s="182">
        <v>50</v>
      </c>
      <c r="B62" s="177" t="s">
        <v>108</v>
      </c>
      <c r="C62" s="175" t="s">
        <v>157</v>
      </c>
      <c r="D62" s="65" t="s">
        <v>109</v>
      </c>
      <c r="E62" s="112"/>
      <c r="F62" s="170"/>
      <c r="G62" s="29">
        <f>G64</f>
        <v>8157229.2300000004</v>
      </c>
      <c r="H62" s="29">
        <f t="shared" ref="H62:I62" si="33">H64</f>
        <v>8157229.2300000004</v>
      </c>
      <c r="I62" s="29">
        <f t="shared" si="33"/>
        <v>8157229.2300000004</v>
      </c>
      <c r="J62" s="115">
        <f t="shared" si="1"/>
        <v>100</v>
      </c>
      <c r="K62" s="118"/>
      <c r="L62" s="118"/>
      <c r="M62" s="130"/>
    </row>
    <row r="63" spans="1:13" s="59" customFormat="1">
      <c r="A63" s="182">
        <v>51</v>
      </c>
      <c r="B63" s="177" t="s">
        <v>402</v>
      </c>
      <c r="C63" s="175" t="s">
        <v>157</v>
      </c>
      <c r="D63" s="65" t="s">
        <v>403</v>
      </c>
      <c r="E63" s="112"/>
      <c r="F63" s="170"/>
      <c r="G63" s="29">
        <f>G64</f>
        <v>8157229.2300000004</v>
      </c>
      <c r="H63" s="29">
        <f t="shared" ref="H63:I64" si="34">H64</f>
        <v>8157229.2300000004</v>
      </c>
      <c r="I63" s="29">
        <f t="shared" si="34"/>
        <v>8157229.2300000004</v>
      </c>
      <c r="J63" s="115">
        <f t="shared" si="1"/>
        <v>100</v>
      </c>
      <c r="K63" s="118"/>
      <c r="L63" s="118"/>
      <c r="M63" s="130"/>
    </row>
    <row r="64" spans="1:13" s="59" customFormat="1" ht="30">
      <c r="A64" s="182">
        <v>52</v>
      </c>
      <c r="B64" s="171" t="s">
        <v>51</v>
      </c>
      <c r="C64" s="175" t="s">
        <v>490</v>
      </c>
      <c r="D64" s="65" t="s">
        <v>403</v>
      </c>
      <c r="E64" s="34" t="s">
        <v>169</v>
      </c>
      <c r="F64" s="170"/>
      <c r="G64" s="29">
        <f>G65</f>
        <v>8157229.2300000004</v>
      </c>
      <c r="H64" s="29">
        <f t="shared" si="34"/>
        <v>8157229.2300000004</v>
      </c>
      <c r="I64" s="29">
        <f t="shared" si="34"/>
        <v>8157229.2300000004</v>
      </c>
      <c r="J64" s="115">
        <f t="shared" si="1"/>
        <v>100</v>
      </c>
      <c r="K64" s="118"/>
      <c r="L64" s="118"/>
      <c r="M64" s="130"/>
    </row>
    <row r="65" spans="1:13" s="59" customFormat="1">
      <c r="A65" s="182">
        <v>53</v>
      </c>
      <c r="B65" s="177" t="s">
        <v>489</v>
      </c>
      <c r="C65" s="175" t="s">
        <v>157</v>
      </c>
      <c r="D65" s="65" t="s">
        <v>403</v>
      </c>
      <c r="E65" s="34" t="s">
        <v>170</v>
      </c>
      <c r="F65" s="170"/>
      <c r="G65" s="29">
        <f>G66+G69</f>
        <v>8157229.2300000004</v>
      </c>
      <c r="H65" s="29">
        <f t="shared" ref="H65:I65" si="35">H66+H69</f>
        <v>8157229.2300000004</v>
      </c>
      <c r="I65" s="29">
        <f t="shared" si="35"/>
        <v>8157229.2300000004</v>
      </c>
      <c r="J65" s="115">
        <f t="shared" si="1"/>
        <v>100</v>
      </c>
      <c r="K65" s="118"/>
      <c r="L65" s="118"/>
      <c r="M65" s="130"/>
    </row>
    <row r="66" spans="1:13" s="59" customFormat="1" ht="45">
      <c r="A66" s="182">
        <v>54</v>
      </c>
      <c r="B66" s="177" t="s">
        <v>492</v>
      </c>
      <c r="C66" s="175" t="s">
        <v>157</v>
      </c>
      <c r="D66" s="65" t="s">
        <v>403</v>
      </c>
      <c r="E66" s="34" t="s">
        <v>536</v>
      </c>
      <c r="F66" s="170"/>
      <c r="G66" s="29">
        <f>G67</f>
        <v>2428963.23</v>
      </c>
      <c r="H66" s="29">
        <f t="shared" ref="H66:I67" si="36">H67</f>
        <v>2428963.23</v>
      </c>
      <c r="I66" s="29">
        <f t="shared" si="36"/>
        <v>2428963.23</v>
      </c>
      <c r="J66" s="115">
        <f t="shared" si="1"/>
        <v>100</v>
      </c>
      <c r="K66" s="118"/>
      <c r="L66" s="118"/>
      <c r="M66" s="130"/>
    </row>
    <row r="67" spans="1:13" s="59" customFormat="1">
      <c r="A67" s="182">
        <v>55</v>
      </c>
      <c r="B67" s="177" t="s">
        <v>17</v>
      </c>
      <c r="C67" s="175" t="s">
        <v>157</v>
      </c>
      <c r="D67" s="65" t="s">
        <v>403</v>
      </c>
      <c r="E67" s="34" t="s">
        <v>536</v>
      </c>
      <c r="F67" s="170">
        <v>500</v>
      </c>
      <c r="G67" s="29">
        <f>G68</f>
        <v>2428963.23</v>
      </c>
      <c r="H67" s="29">
        <f t="shared" si="36"/>
        <v>2428963.23</v>
      </c>
      <c r="I67" s="29">
        <f t="shared" si="36"/>
        <v>2428963.23</v>
      </c>
      <c r="J67" s="115">
        <f t="shared" si="1"/>
        <v>100</v>
      </c>
      <c r="K67" s="118"/>
      <c r="L67" s="118"/>
      <c r="M67" s="130"/>
    </row>
    <row r="68" spans="1:13" s="59" customFormat="1">
      <c r="A68" s="182">
        <v>56</v>
      </c>
      <c r="B68" s="177" t="s">
        <v>491</v>
      </c>
      <c r="C68" s="175" t="s">
        <v>157</v>
      </c>
      <c r="D68" s="65" t="s">
        <v>403</v>
      </c>
      <c r="E68" s="34" t="s">
        <v>493</v>
      </c>
      <c r="F68" s="170">
        <v>520</v>
      </c>
      <c r="G68" s="29">
        <f>3951470-1522506.77</f>
        <v>2428963.23</v>
      </c>
      <c r="H68" s="29">
        <v>2428963.23</v>
      </c>
      <c r="I68" s="115">
        <v>2428963.23</v>
      </c>
      <c r="J68" s="115">
        <f t="shared" si="1"/>
        <v>100</v>
      </c>
      <c r="K68" s="118"/>
      <c r="L68" s="118"/>
      <c r="M68" s="130"/>
    </row>
    <row r="69" spans="1:13" s="59" customFormat="1" ht="24" customHeight="1">
      <c r="A69" s="182">
        <v>57</v>
      </c>
      <c r="B69" s="177" t="s">
        <v>553</v>
      </c>
      <c r="C69" s="175" t="s">
        <v>157</v>
      </c>
      <c r="D69" s="65" t="s">
        <v>403</v>
      </c>
      <c r="E69" s="34" t="s">
        <v>554</v>
      </c>
      <c r="F69" s="170"/>
      <c r="G69" s="29">
        <f>G70</f>
        <v>5728266</v>
      </c>
      <c r="H69" s="29">
        <f t="shared" ref="H69:I70" si="37">H70</f>
        <v>5728266</v>
      </c>
      <c r="I69" s="29">
        <f t="shared" si="37"/>
        <v>5728266</v>
      </c>
      <c r="J69" s="115">
        <f t="shared" si="1"/>
        <v>100</v>
      </c>
      <c r="K69" s="118"/>
      <c r="L69" s="118"/>
      <c r="M69" s="130"/>
    </row>
    <row r="70" spans="1:13" s="59" customFormat="1">
      <c r="A70" s="182">
        <v>58</v>
      </c>
      <c r="B70" s="177" t="s">
        <v>17</v>
      </c>
      <c r="C70" s="175" t="s">
        <v>157</v>
      </c>
      <c r="D70" s="65" t="s">
        <v>403</v>
      </c>
      <c r="E70" s="34" t="s">
        <v>554</v>
      </c>
      <c r="F70" s="170">
        <v>500</v>
      </c>
      <c r="G70" s="29">
        <f>G71</f>
        <v>5728266</v>
      </c>
      <c r="H70" s="29">
        <f t="shared" si="37"/>
        <v>5728266</v>
      </c>
      <c r="I70" s="29">
        <f t="shared" si="37"/>
        <v>5728266</v>
      </c>
      <c r="J70" s="115">
        <f t="shared" si="1"/>
        <v>100</v>
      </c>
      <c r="K70" s="118"/>
      <c r="L70" s="118"/>
      <c r="M70" s="130"/>
    </row>
    <row r="71" spans="1:13" s="59" customFormat="1">
      <c r="A71" s="182">
        <v>59</v>
      </c>
      <c r="B71" s="177" t="s">
        <v>491</v>
      </c>
      <c r="C71" s="175" t="s">
        <v>157</v>
      </c>
      <c r="D71" s="65" t="s">
        <v>403</v>
      </c>
      <c r="E71" s="34" t="s">
        <v>554</v>
      </c>
      <c r="F71" s="170">
        <v>520</v>
      </c>
      <c r="G71" s="29">
        <f>6350000-621734</f>
        <v>5728266</v>
      </c>
      <c r="H71" s="29">
        <v>5728266</v>
      </c>
      <c r="I71" s="115">
        <v>5728266</v>
      </c>
      <c r="J71" s="115">
        <f t="shared" si="1"/>
        <v>100</v>
      </c>
      <c r="K71" s="118"/>
      <c r="L71" s="118"/>
      <c r="M71" s="130"/>
    </row>
    <row r="72" spans="1:13" s="59" customFormat="1">
      <c r="A72" s="182">
        <v>60</v>
      </c>
      <c r="B72" s="51" t="s">
        <v>112</v>
      </c>
      <c r="C72" s="40" t="s">
        <v>157</v>
      </c>
      <c r="D72" s="40" t="s">
        <v>113</v>
      </c>
      <c r="E72" s="34"/>
      <c r="F72" s="170"/>
      <c r="G72" s="29">
        <f t="shared" ref="G72:I77" si="38">G73</f>
        <v>100000</v>
      </c>
      <c r="H72" s="29">
        <f t="shared" si="38"/>
        <v>100000</v>
      </c>
      <c r="I72" s="29">
        <f t="shared" si="38"/>
        <v>99999.7</v>
      </c>
      <c r="J72" s="115">
        <f t="shared" si="1"/>
        <v>99.999700000000004</v>
      </c>
      <c r="K72" s="118"/>
      <c r="L72" s="118"/>
      <c r="M72" s="130"/>
    </row>
    <row r="73" spans="1:13" s="59" customFormat="1">
      <c r="A73" s="182">
        <v>61</v>
      </c>
      <c r="B73" s="176" t="s">
        <v>70</v>
      </c>
      <c r="C73" s="175" t="s">
        <v>157</v>
      </c>
      <c r="D73" s="175" t="s">
        <v>117</v>
      </c>
      <c r="E73" s="34"/>
      <c r="F73" s="170"/>
      <c r="G73" s="29">
        <f t="shared" si="38"/>
        <v>100000</v>
      </c>
      <c r="H73" s="29">
        <f t="shared" si="38"/>
        <v>100000</v>
      </c>
      <c r="I73" s="29">
        <f t="shared" si="38"/>
        <v>99999.7</v>
      </c>
      <c r="J73" s="115">
        <f t="shared" si="1"/>
        <v>99.999700000000004</v>
      </c>
      <c r="K73" s="118"/>
      <c r="L73" s="118"/>
      <c r="M73" s="130"/>
    </row>
    <row r="74" spans="1:13" s="59" customFormat="1">
      <c r="A74" s="182">
        <v>62</v>
      </c>
      <c r="B74" s="171" t="s">
        <v>71</v>
      </c>
      <c r="C74" s="175" t="s">
        <v>157</v>
      </c>
      <c r="D74" s="175" t="s">
        <v>117</v>
      </c>
      <c r="E74" s="34" t="s">
        <v>208</v>
      </c>
      <c r="F74" s="170"/>
      <c r="G74" s="29">
        <f t="shared" si="38"/>
        <v>100000</v>
      </c>
      <c r="H74" s="29">
        <f t="shared" si="38"/>
        <v>100000</v>
      </c>
      <c r="I74" s="29">
        <f t="shared" si="38"/>
        <v>99999.7</v>
      </c>
      <c r="J74" s="115">
        <f t="shared" si="1"/>
        <v>99.999700000000004</v>
      </c>
      <c r="K74" s="118"/>
      <c r="L74" s="118"/>
      <c r="M74" s="130"/>
    </row>
    <row r="75" spans="1:13" s="59" customFormat="1">
      <c r="A75" s="182">
        <v>63</v>
      </c>
      <c r="B75" s="171" t="s">
        <v>299</v>
      </c>
      <c r="C75" s="175" t="s">
        <v>157</v>
      </c>
      <c r="D75" s="175" t="s">
        <v>117</v>
      </c>
      <c r="E75" s="34" t="s">
        <v>239</v>
      </c>
      <c r="F75" s="170"/>
      <c r="G75" s="29">
        <f t="shared" si="38"/>
        <v>100000</v>
      </c>
      <c r="H75" s="29">
        <f t="shared" si="38"/>
        <v>100000</v>
      </c>
      <c r="I75" s="29">
        <f t="shared" si="38"/>
        <v>99999.7</v>
      </c>
      <c r="J75" s="115">
        <f t="shared" si="1"/>
        <v>99.999700000000004</v>
      </c>
      <c r="K75" s="118"/>
      <c r="L75" s="118"/>
      <c r="M75" s="130"/>
    </row>
    <row r="76" spans="1:13" s="59" customFormat="1">
      <c r="A76" s="182">
        <v>64</v>
      </c>
      <c r="B76" s="176" t="s">
        <v>434</v>
      </c>
      <c r="C76" s="175" t="s">
        <v>157</v>
      </c>
      <c r="D76" s="175" t="s">
        <v>117</v>
      </c>
      <c r="E76" s="34" t="s">
        <v>435</v>
      </c>
      <c r="F76" s="73"/>
      <c r="G76" s="29">
        <f t="shared" si="38"/>
        <v>100000</v>
      </c>
      <c r="H76" s="29">
        <f t="shared" si="38"/>
        <v>100000</v>
      </c>
      <c r="I76" s="29">
        <f t="shared" si="38"/>
        <v>99999.7</v>
      </c>
      <c r="J76" s="115">
        <f t="shared" si="1"/>
        <v>99.999700000000004</v>
      </c>
      <c r="K76" s="118"/>
      <c r="L76" s="118"/>
      <c r="M76" s="130"/>
    </row>
    <row r="77" spans="1:13" s="59" customFormat="1">
      <c r="A77" s="182">
        <v>65</v>
      </c>
      <c r="B77" s="176" t="s">
        <v>17</v>
      </c>
      <c r="C77" s="175" t="s">
        <v>157</v>
      </c>
      <c r="D77" s="175" t="s">
        <v>117</v>
      </c>
      <c r="E77" s="34" t="s">
        <v>435</v>
      </c>
      <c r="F77" s="73">
        <v>500</v>
      </c>
      <c r="G77" s="29">
        <f t="shared" si="38"/>
        <v>100000</v>
      </c>
      <c r="H77" s="29">
        <f t="shared" si="38"/>
        <v>100000</v>
      </c>
      <c r="I77" s="29">
        <f t="shared" si="38"/>
        <v>99999.7</v>
      </c>
      <c r="J77" s="115">
        <f t="shared" si="1"/>
        <v>99.999700000000004</v>
      </c>
      <c r="K77" s="118"/>
      <c r="L77" s="118"/>
      <c r="M77" s="130"/>
    </row>
    <row r="78" spans="1:13" s="59" customFormat="1">
      <c r="A78" s="182">
        <v>66</v>
      </c>
      <c r="B78" s="176" t="s">
        <v>24</v>
      </c>
      <c r="C78" s="175" t="s">
        <v>157</v>
      </c>
      <c r="D78" s="175" t="s">
        <v>117</v>
      </c>
      <c r="E78" s="34" t="s">
        <v>435</v>
      </c>
      <c r="F78" s="73">
        <v>540</v>
      </c>
      <c r="G78" s="29">
        <v>100000</v>
      </c>
      <c r="H78" s="29">
        <v>100000</v>
      </c>
      <c r="I78" s="115">
        <v>99999.7</v>
      </c>
      <c r="J78" s="115">
        <f t="shared" si="1"/>
        <v>99.999700000000004</v>
      </c>
      <c r="K78" s="118"/>
      <c r="L78" s="118"/>
      <c r="M78" s="130"/>
    </row>
    <row r="79" spans="1:13" s="59" customFormat="1">
      <c r="A79" s="182">
        <v>67</v>
      </c>
      <c r="B79" s="176" t="s">
        <v>251</v>
      </c>
      <c r="C79" s="175" t="s">
        <v>157</v>
      </c>
      <c r="D79" s="175" t="s">
        <v>248</v>
      </c>
      <c r="E79" s="34"/>
      <c r="F79" s="73"/>
      <c r="G79" s="29">
        <f>G80</f>
        <v>49500</v>
      </c>
      <c r="H79" s="29">
        <f t="shared" ref="H79:I79" si="39">H80</f>
        <v>49500</v>
      </c>
      <c r="I79" s="29">
        <f t="shared" si="39"/>
        <v>49500</v>
      </c>
      <c r="J79" s="115">
        <f t="shared" ref="J79:J142" si="40">I79/H79*100</f>
        <v>100</v>
      </c>
      <c r="K79" s="118"/>
      <c r="L79" s="118"/>
      <c r="M79" s="130"/>
    </row>
    <row r="80" spans="1:13" s="59" customFormat="1">
      <c r="A80" s="182">
        <v>68</v>
      </c>
      <c r="B80" s="176" t="s">
        <v>468</v>
      </c>
      <c r="C80" s="175" t="s">
        <v>157</v>
      </c>
      <c r="D80" s="175" t="s">
        <v>503</v>
      </c>
      <c r="E80" s="34"/>
      <c r="F80" s="73"/>
      <c r="G80" s="29">
        <f>G81</f>
        <v>49500</v>
      </c>
      <c r="H80" s="29">
        <f t="shared" ref="H80:I80" si="41">H81</f>
        <v>49500</v>
      </c>
      <c r="I80" s="29">
        <f t="shared" si="41"/>
        <v>49500</v>
      </c>
      <c r="J80" s="115">
        <f t="shared" si="40"/>
        <v>100</v>
      </c>
      <c r="K80" s="118"/>
      <c r="L80" s="118"/>
      <c r="M80" s="130"/>
    </row>
    <row r="81" spans="1:13" s="59" customFormat="1" ht="30">
      <c r="A81" s="182">
        <v>69</v>
      </c>
      <c r="B81" s="176" t="s">
        <v>249</v>
      </c>
      <c r="C81" s="175" t="s">
        <v>157</v>
      </c>
      <c r="D81" s="175" t="s">
        <v>503</v>
      </c>
      <c r="E81" s="34" t="s">
        <v>358</v>
      </c>
      <c r="F81" s="73"/>
      <c r="G81" s="29">
        <f>G82</f>
        <v>49500</v>
      </c>
      <c r="H81" s="29">
        <f t="shared" ref="H81:I81" si="42">H82</f>
        <v>49500</v>
      </c>
      <c r="I81" s="29">
        <f t="shared" si="42"/>
        <v>49500</v>
      </c>
      <c r="J81" s="115">
        <f t="shared" si="40"/>
        <v>100</v>
      </c>
      <c r="K81" s="118"/>
      <c r="L81" s="118"/>
      <c r="M81" s="130"/>
    </row>
    <row r="82" spans="1:13" s="59" customFormat="1" ht="30">
      <c r="A82" s="182">
        <v>70</v>
      </c>
      <c r="B82" s="176" t="s">
        <v>312</v>
      </c>
      <c r="C82" s="175" t="s">
        <v>157</v>
      </c>
      <c r="D82" s="175" t="s">
        <v>503</v>
      </c>
      <c r="E82" s="34" t="s">
        <v>352</v>
      </c>
      <c r="F82" s="73"/>
      <c r="G82" s="29">
        <f>G84</f>
        <v>49500</v>
      </c>
      <c r="H82" s="29">
        <f t="shared" ref="H82:I82" si="43">H84</f>
        <v>49500</v>
      </c>
      <c r="I82" s="29">
        <f t="shared" si="43"/>
        <v>49500</v>
      </c>
      <c r="J82" s="115">
        <f t="shared" si="40"/>
        <v>100</v>
      </c>
      <c r="K82" s="118"/>
      <c r="L82" s="118"/>
      <c r="M82" s="130"/>
    </row>
    <row r="83" spans="1:13" s="59" customFormat="1" ht="45" customHeight="1">
      <c r="A83" s="182">
        <v>71</v>
      </c>
      <c r="B83" s="176" t="s">
        <v>505</v>
      </c>
      <c r="C83" s="175" t="s">
        <v>157</v>
      </c>
      <c r="D83" s="175" t="s">
        <v>503</v>
      </c>
      <c r="E83" s="34" t="s">
        <v>504</v>
      </c>
      <c r="F83" s="73"/>
      <c r="G83" s="29">
        <f>G84</f>
        <v>49500</v>
      </c>
      <c r="H83" s="29">
        <f t="shared" ref="H83:I83" si="44">H84</f>
        <v>49500</v>
      </c>
      <c r="I83" s="29">
        <f t="shared" si="44"/>
        <v>49500</v>
      </c>
      <c r="J83" s="115">
        <f t="shared" si="40"/>
        <v>100</v>
      </c>
      <c r="K83" s="118"/>
      <c r="L83" s="118"/>
      <c r="M83" s="130"/>
    </row>
    <row r="84" spans="1:13" s="59" customFormat="1">
      <c r="A84" s="182">
        <v>72</v>
      </c>
      <c r="B84" s="176" t="s">
        <v>501</v>
      </c>
      <c r="C84" s="175" t="s">
        <v>157</v>
      </c>
      <c r="D84" s="175" t="s">
        <v>503</v>
      </c>
      <c r="E84" s="34" t="s">
        <v>504</v>
      </c>
      <c r="F84" s="73">
        <v>500</v>
      </c>
      <c r="G84" s="29">
        <f>G85</f>
        <v>49500</v>
      </c>
      <c r="H84" s="29">
        <f t="shared" ref="H84:I84" si="45">H85</f>
        <v>49500</v>
      </c>
      <c r="I84" s="29">
        <f t="shared" si="45"/>
        <v>49500</v>
      </c>
      <c r="J84" s="115">
        <f t="shared" si="40"/>
        <v>100</v>
      </c>
      <c r="K84" s="118"/>
      <c r="L84" s="118"/>
      <c r="M84" s="130"/>
    </row>
    <row r="85" spans="1:13" s="59" customFormat="1">
      <c r="A85" s="182">
        <v>73</v>
      </c>
      <c r="B85" s="176" t="s">
        <v>502</v>
      </c>
      <c r="C85" s="175" t="s">
        <v>157</v>
      </c>
      <c r="D85" s="175" t="s">
        <v>503</v>
      </c>
      <c r="E85" s="34" t="s">
        <v>504</v>
      </c>
      <c r="F85" s="73">
        <v>540</v>
      </c>
      <c r="G85" s="29">
        <v>49500</v>
      </c>
      <c r="H85" s="29">
        <v>49500</v>
      </c>
      <c r="I85" s="115">
        <v>49500</v>
      </c>
      <c r="J85" s="115">
        <f t="shared" si="40"/>
        <v>100</v>
      </c>
      <c r="K85" s="118"/>
      <c r="L85" s="118"/>
      <c r="M85" s="130"/>
    </row>
    <row r="86" spans="1:13" s="59" customFormat="1">
      <c r="A86" s="182">
        <v>74</v>
      </c>
      <c r="B86" s="177" t="s">
        <v>406</v>
      </c>
      <c r="C86" s="175" t="s">
        <v>157</v>
      </c>
      <c r="D86" s="65" t="s">
        <v>407</v>
      </c>
      <c r="E86" s="34"/>
      <c r="F86" s="170"/>
      <c r="G86" s="29">
        <f t="shared" ref="G86:I91" si="46">G87</f>
        <v>6082.1900000000023</v>
      </c>
      <c r="H86" s="29">
        <f t="shared" si="46"/>
        <v>6082.19</v>
      </c>
      <c r="I86" s="29">
        <f t="shared" si="46"/>
        <v>6082.19</v>
      </c>
      <c r="J86" s="115">
        <f t="shared" si="40"/>
        <v>100</v>
      </c>
      <c r="K86" s="118"/>
      <c r="L86" s="118"/>
      <c r="M86" s="130"/>
    </row>
    <row r="87" spans="1:13" s="59" customFormat="1">
      <c r="A87" s="182">
        <v>75</v>
      </c>
      <c r="B87" s="177" t="s">
        <v>408</v>
      </c>
      <c r="C87" s="175" t="s">
        <v>157</v>
      </c>
      <c r="D87" s="65" t="s">
        <v>409</v>
      </c>
      <c r="E87" s="34"/>
      <c r="F87" s="170"/>
      <c r="G87" s="29">
        <f t="shared" si="46"/>
        <v>6082.1900000000023</v>
      </c>
      <c r="H87" s="29">
        <f t="shared" si="46"/>
        <v>6082.19</v>
      </c>
      <c r="I87" s="29">
        <f t="shared" si="46"/>
        <v>6082.19</v>
      </c>
      <c r="J87" s="115">
        <f t="shared" si="40"/>
        <v>100</v>
      </c>
      <c r="K87" s="118"/>
      <c r="L87" s="118"/>
      <c r="M87" s="130"/>
    </row>
    <row r="88" spans="1:13" s="59" customFormat="1">
      <c r="A88" s="182">
        <v>76</v>
      </c>
      <c r="B88" s="171" t="s">
        <v>22</v>
      </c>
      <c r="C88" s="175" t="s">
        <v>157</v>
      </c>
      <c r="D88" s="65" t="s">
        <v>409</v>
      </c>
      <c r="E88" s="112">
        <v>9200000000</v>
      </c>
      <c r="F88" s="170"/>
      <c r="G88" s="29">
        <f t="shared" si="46"/>
        <v>6082.1900000000023</v>
      </c>
      <c r="H88" s="29">
        <f t="shared" si="46"/>
        <v>6082.19</v>
      </c>
      <c r="I88" s="29">
        <f t="shared" si="46"/>
        <v>6082.19</v>
      </c>
      <c r="J88" s="115">
        <f t="shared" si="40"/>
        <v>100</v>
      </c>
      <c r="K88" s="118"/>
      <c r="L88" s="118"/>
      <c r="M88" s="130"/>
    </row>
    <row r="89" spans="1:13" s="59" customFormat="1">
      <c r="A89" s="182">
        <v>77</v>
      </c>
      <c r="B89" s="171" t="s">
        <v>259</v>
      </c>
      <c r="C89" s="175" t="s">
        <v>157</v>
      </c>
      <c r="D89" s="65" t="s">
        <v>409</v>
      </c>
      <c r="E89" s="112">
        <v>9210000000</v>
      </c>
      <c r="F89" s="170"/>
      <c r="G89" s="29">
        <f t="shared" si="46"/>
        <v>6082.1900000000023</v>
      </c>
      <c r="H89" s="29">
        <f t="shared" si="46"/>
        <v>6082.19</v>
      </c>
      <c r="I89" s="29">
        <f t="shared" si="46"/>
        <v>6082.19</v>
      </c>
      <c r="J89" s="115">
        <f t="shared" si="40"/>
        <v>100</v>
      </c>
      <c r="K89" s="118"/>
      <c r="L89" s="118"/>
      <c r="M89" s="130"/>
    </row>
    <row r="90" spans="1:13" s="59" customFormat="1">
      <c r="A90" s="182">
        <v>78</v>
      </c>
      <c r="B90" s="171" t="s">
        <v>410</v>
      </c>
      <c r="C90" s="175" t="s">
        <v>157</v>
      </c>
      <c r="D90" s="65" t="s">
        <v>409</v>
      </c>
      <c r="E90" s="112">
        <v>9210000910</v>
      </c>
      <c r="F90" s="170"/>
      <c r="G90" s="29">
        <f t="shared" si="46"/>
        <v>6082.1900000000023</v>
      </c>
      <c r="H90" s="29">
        <f t="shared" si="46"/>
        <v>6082.19</v>
      </c>
      <c r="I90" s="29">
        <f t="shared" si="46"/>
        <v>6082.19</v>
      </c>
      <c r="J90" s="115">
        <f t="shared" si="40"/>
        <v>100</v>
      </c>
      <c r="K90" s="118"/>
      <c r="L90" s="118"/>
      <c r="M90" s="130"/>
    </row>
    <row r="91" spans="1:13" s="59" customFormat="1">
      <c r="A91" s="182">
        <v>79</v>
      </c>
      <c r="B91" s="171" t="s">
        <v>411</v>
      </c>
      <c r="C91" s="175" t="s">
        <v>157</v>
      </c>
      <c r="D91" s="65" t="s">
        <v>409</v>
      </c>
      <c r="E91" s="112">
        <v>9210000910</v>
      </c>
      <c r="F91" s="170">
        <v>700</v>
      </c>
      <c r="G91" s="29">
        <f t="shared" si="46"/>
        <v>6082.1900000000023</v>
      </c>
      <c r="H91" s="29">
        <f t="shared" si="46"/>
        <v>6082.19</v>
      </c>
      <c r="I91" s="29">
        <f t="shared" si="46"/>
        <v>6082.19</v>
      </c>
      <c r="J91" s="115">
        <f t="shared" si="40"/>
        <v>100</v>
      </c>
      <c r="K91" s="118"/>
      <c r="L91" s="118"/>
      <c r="M91" s="130"/>
    </row>
    <row r="92" spans="1:13" s="59" customFormat="1">
      <c r="A92" s="182">
        <v>80</v>
      </c>
      <c r="B92" s="171" t="s">
        <v>412</v>
      </c>
      <c r="C92" s="175" t="s">
        <v>157</v>
      </c>
      <c r="D92" s="65" t="s">
        <v>409</v>
      </c>
      <c r="E92" s="112">
        <v>9210000910</v>
      </c>
      <c r="F92" s="170">
        <v>730</v>
      </c>
      <c r="G92" s="29">
        <f>850000-700000-143917.81</f>
        <v>6082.1900000000023</v>
      </c>
      <c r="H92" s="29">
        <v>6082.19</v>
      </c>
      <c r="I92" s="115">
        <v>6082.19</v>
      </c>
      <c r="J92" s="115">
        <f t="shared" si="40"/>
        <v>100</v>
      </c>
      <c r="K92" s="118"/>
      <c r="L92" s="118"/>
      <c r="M92" s="130"/>
    </row>
    <row r="93" spans="1:13" ht="30">
      <c r="A93" s="182">
        <v>81</v>
      </c>
      <c r="B93" s="66" t="s">
        <v>227</v>
      </c>
      <c r="C93" s="175" t="s">
        <v>157</v>
      </c>
      <c r="D93" s="175" t="s">
        <v>128</v>
      </c>
      <c r="E93" s="112"/>
      <c r="F93" s="170"/>
      <c r="G93" s="29">
        <f t="shared" ref="G93:H93" si="47">G94+G103</f>
        <v>190853581.75999999</v>
      </c>
      <c r="H93" s="29">
        <f t="shared" si="47"/>
        <v>190853581.75999999</v>
      </c>
      <c r="I93" s="29">
        <f t="shared" ref="I93" si="48">I94+I103</f>
        <v>188381239.77000001</v>
      </c>
      <c r="J93" s="115">
        <f t="shared" si="40"/>
        <v>98.704587062395831</v>
      </c>
    </row>
    <row r="94" spans="1:13" ht="30">
      <c r="A94" s="182">
        <v>82</v>
      </c>
      <c r="B94" s="176" t="s">
        <v>25</v>
      </c>
      <c r="C94" s="175" t="s">
        <v>157</v>
      </c>
      <c r="D94" s="175" t="s">
        <v>129</v>
      </c>
      <c r="E94" s="112"/>
      <c r="F94" s="170"/>
      <c r="G94" s="29">
        <f t="shared" ref="G94:I95" si="49">G95</f>
        <v>33640960</v>
      </c>
      <c r="H94" s="29">
        <f t="shared" si="49"/>
        <v>33640960</v>
      </c>
      <c r="I94" s="29">
        <f t="shared" si="49"/>
        <v>33640960</v>
      </c>
      <c r="J94" s="115">
        <f t="shared" si="40"/>
        <v>100</v>
      </c>
    </row>
    <row r="95" spans="1:13">
      <c r="A95" s="182">
        <v>83</v>
      </c>
      <c r="B95" s="122" t="s">
        <v>317</v>
      </c>
      <c r="C95" s="175" t="s">
        <v>157</v>
      </c>
      <c r="D95" s="175" t="s">
        <v>129</v>
      </c>
      <c r="E95" s="34" t="s">
        <v>166</v>
      </c>
      <c r="F95" s="170"/>
      <c r="G95" s="29">
        <f t="shared" si="49"/>
        <v>33640960</v>
      </c>
      <c r="H95" s="29">
        <f t="shared" si="49"/>
        <v>33640960</v>
      </c>
      <c r="I95" s="29">
        <f t="shared" si="49"/>
        <v>33640960</v>
      </c>
      <c r="J95" s="115">
        <f t="shared" si="40"/>
        <v>100</v>
      </c>
    </row>
    <row r="96" spans="1:13" ht="30">
      <c r="A96" s="182">
        <v>84</v>
      </c>
      <c r="B96" s="122" t="s">
        <v>26</v>
      </c>
      <c r="C96" s="175" t="s">
        <v>157</v>
      </c>
      <c r="D96" s="175" t="s">
        <v>129</v>
      </c>
      <c r="E96" s="34" t="s">
        <v>172</v>
      </c>
      <c r="F96" s="170"/>
      <c r="G96" s="29">
        <f t="shared" ref="G96:H96" si="50">G97+G100</f>
        <v>33640960</v>
      </c>
      <c r="H96" s="29">
        <f t="shared" si="50"/>
        <v>33640960</v>
      </c>
      <c r="I96" s="29">
        <f t="shared" ref="I96" si="51">I97+I100</f>
        <v>33640960</v>
      </c>
      <c r="J96" s="115">
        <f t="shared" si="40"/>
        <v>100</v>
      </c>
    </row>
    <row r="97" spans="1:11" ht="90">
      <c r="A97" s="182">
        <v>85</v>
      </c>
      <c r="B97" s="122" t="s">
        <v>399</v>
      </c>
      <c r="C97" s="175" t="s">
        <v>157</v>
      </c>
      <c r="D97" s="175" t="s">
        <v>129</v>
      </c>
      <c r="E97" s="34" t="s">
        <v>173</v>
      </c>
      <c r="F97" s="170"/>
      <c r="G97" s="29">
        <f t="shared" ref="G97:I97" si="52">G98</f>
        <v>16163500</v>
      </c>
      <c r="H97" s="29">
        <f t="shared" si="52"/>
        <v>16163500</v>
      </c>
      <c r="I97" s="29">
        <f t="shared" si="52"/>
        <v>16163500</v>
      </c>
      <c r="J97" s="115">
        <f t="shared" si="40"/>
        <v>100</v>
      </c>
    </row>
    <row r="98" spans="1:11">
      <c r="A98" s="182">
        <v>86</v>
      </c>
      <c r="B98" s="176" t="s">
        <v>17</v>
      </c>
      <c r="C98" s="175" t="s">
        <v>157</v>
      </c>
      <c r="D98" s="175" t="s">
        <v>129</v>
      </c>
      <c r="E98" s="34" t="s">
        <v>173</v>
      </c>
      <c r="F98" s="170">
        <v>500</v>
      </c>
      <c r="G98" s="29">
        <f t="shared" ref="G98:I98" si="53">G99</f>
        <v>16163500</v>
      </c>
      <c r="H98" s="29">
        <f t="shared" si="53"/>
        <v>16163500</v>
      </c>
      <c r="I98" s="29">
        <f t="shared" si="53"/>
        <v>16163500</v>
      </c>
      <c r="J98" s="115">
        <f t="shared" si="40"/>
        <v>100</v>
      </c>
    </row>
    <row r="99" spans="1:11">
      <c r="A99" s="182">
        <v>87</v>
      </c>
      <c r="B99" s="176" t="s">
        <v>27</v>
      </c>
      <c r="C99" s="175" t="s">
        <v>157</v>
      </c>
      <c r="D99" s="175" t="s">
        <v>129</v>
      </c>
      <c r="E99" s="34" t="s">
        <v>173</v>
      </c>
      <c r="F99" s="170">
        <v>510</v>
      </c>
      <c r="G99" s="29">
        <v>16163500</v>
      </c>
      <c r="H99" s="29">
        <v>16163500</v>
      </c>
      <c r="I99" s="115">
        <v>16163500</v>
      </c>
      <c r="J99" s="115">
        <f t="shared" si="40"/>
        <v>100</v>
      </c>
      <c r="K99" s="117"/>
    </row>
    <row r="100" spans="1:11" ht="75">
      <c r="A100" s="182">
        <v>88</v>
      </c>
      <c r="B100" s="122" t="s">
        <v>369</v>
      </c>
      <c r="C100" s="175" t="s">
        <v>157</v>
      </c>
      <c r="D100" s="175" t="s">
        <v>129</v>
      </c>
      <c r="E100" s="34" t="s">
        <v>174</v>
      </c>
      <c r="F100" s="170"/>
      <c r="G100" s="29">
        <f t="shared" ref="G100:I101" si="54">G101</f>
        <v>17477460</v>
      </c>
      <c r="H100" s="29">
        <f t="shared" si="54"/>
        <v>17477460</v>
      </c>
      <c r="I100" s="29">
        <f t="shared" si="54"/>
        <v>17477460</v>
      </c>
      <c r="J100" s="115">
        <f t="shared" si="40"/>
        <v>100</v>
      </c>
    </row>
    <row r="101" spans="1:11">
      <c r="A101" s="182">
        <v>89</v>
      </c>
      <c r="B101" s="176" t="s">
        <v>17</v>
      </c>
      <c r="C101" s="175" t="s">
        <v>157</v>
      </c>
      <c r="D101" s="175" t="s">
        <v>129</v>
      </c>
      <c r="E101" s="34" t="s">
        <v>174</v>
      </c>
      <c r="F101" s="170">
        <v>500</v>
      </c>
      <c r="G101" s="29">
        <f t="shared" si="54"/>
        <v>17477460</v>
      </c>
      <c r="H101" s="29">
        <f t="shared" si="54"/>
        <v>17477460</v>
      </c>
      <c r="I101" s="29">
        <f t="shared" si="54"/>
        <v>17477460</v>
      </c>
      <c r="J101" s="115">
        <f t="shared" si="40"/>
        <v>100</v>
      </c>
    </row>
    <row r="102" spans="1:11">
      <c r="A102" s="182">
        <v>90</v>
      </c>
      <c r="B102" s="176" t="s">
        <v>27</v>
      </c>
      <c r="C102" s="175" t="s">
        <v>157</v>
      </c>
      <c r="D102" s="175" t="s">
        <v>129</v>
      </c>
      <c r="E102" s="34" t="s">
        <v>174</v>
      </c>
      <c r="F102" s="170">
        <v>510</v>
      </c>
      <c r="G102" s="29">
        <v>17477460</v>
      </c>
      <c r="H102" s="29">
        <v>17477460</v>
      </c>
      <c r="I102" s="115">
        <v>17477460</v>
      </c>
      <c r="J102" s="115">
        <f t="shared" si="40"/>
        <v>100</v>
      </c>
    </row>
    <row r="103" spans="1:11">
      <c r="A103" s="182">
        <v>91</v>
      </c>
      <c r="B103" s="64" t="s">
        <v>228</v>
      </c>
      <c r="C103" s="175" t="s">
        <v>157</v>
      </c>
      <c r="D103" s="175" t="s">
        <v>130</v>
      </c>
      <c r="E103" s="112"/>
      <c r="F103" s="170"/>
      <c r="G103" s="29">
        <f>G104+G109</f>
        <v>157212621.75999999</v>
      </c>
      <c r="H103" s="29">
        <f>H104+H109</f>
        <v>157212621.75999999</v>
      </c>
      <c r="I103" s="29">
        <f>I104+I109</f>
        <v>154740279.77000001</v>
      </c>
      <c r="J103" s="115">
        <f t="shared" si="40"/>
        <v>98.427389631747104</v>
      </c>
    </row>
    <row r="104" spans="1:11">
      <c r="A104" s="182">
        <v>92</v>
      </c>
      <c r="B104" s="122" t="s">
        <v>318</v>
      </c>
      <c r="C104" s="175" t="s">
        <v>157</v>
      </c>
      <c r="D104" s="175" t="s">
        <v>130</v>
      </c>
      <c r="E104" s="34" t="s">
        <v>166</v>
      </c>
      <c r="F104" s="170"/>
      <c r="G104" s="29">
        <f t="shared" ref="G104:I104" si="55">G105</f>
        <v>154156185.75999999</v>
      </c>
      <c r="H104" s="29">
        <f t="shared" si="55"/>
        <v>154156185.75999999</v>
      </c>
      <c r="I104" s="29">
        <f t="shared" si="55"/>
        <v>151688843.77000001</v>
      </c>
      <c r="J104" s="115">
        <f t="shared" si="40"/>
        <v>98.399453140439462</v>
      </c>
    </row>
    <row r="105" spans="1:11" ht="30">
      <c r="A105" s="182">
        <v>93</v>
      </c>
      <c r="B105" s="122" t="s">
        <v>26</v>
      </c>
      <c r="C105" s="175" t="s">
        <v>157</v>
      </c>
      <c r="D105" s="175" t="s">
        <v>130</v>
      </c>
      <c r="E105" s="34" t="s">
        <v>172</v>
      </c>
      <c r="F105" s="170"/>
      <c r="G105" s="29">
        <f t="shared" ref="G105" si="56">G106</f>
        <v>154156185.75999999</v>
      </c>
      <c r="H105" s="29">
        <f>H106</f>
        <v>154156185.75999999</v>
      </c>
      <c r="I105" s="29">
        <f>I106</f>
        <v>151688843.77000001</v>
      </c>
      <c r="J105" s="115">
        <f t="shared" si="40"/>
        <v>98.399453140439462</v>
      </c>
    </row>
    <row r="106" spans="1:11" ht="75">
      <c r="A106" s="182">
        <v>94</v>
      </c>
      <c r="B106" s="122" t="s">
        <v>400</v>
      </c>
      <c r="C106" s="175" t="s">
        <v>157</v>
      </c>
      <c r="D106" s="175" t="s">
        <v>130</v>
      </c>
      <c r="E106" s="34" t="s">
        <v>175</v>
      </c>
      <c r="F106" s="170"/>
      <c r="G106" s="29">
        <f t="shared" ref="G106" si="57">G107</f>
        <v>154156185.75999999</v>
      </c>
      <c r="H106" s="29">
        <f>H107</f>
        <v>154156185.75999999</v>
      </c>
      <c r="I106" s="29">
        <f>I107</f>
        <v>151688843.77000001</v>
      </c>
      <c r="J106" s="115">
        <f t="shared" si="40"/>
        <v>98.399453140439462</v>
      </c>
    </row>
    <row r="107" spans="1:11">
      <c r="A107" s="182">
        <v>95</v>
      </c>
      <c r="B107" s="176" t="s">
        <v>17</v>
      </c>
      <c r="C107" s="175" t="s">
        <v>157</v>
      </c>
      <c r="D107" s="175" t="s">
        <v>130</v>
      </c>
      <c r="E107" s="34" t="s">
        <v>175</v>
      </c>
      <c r="F107" s="170">
        <v>500</v>
      </c>
      <c r="G107" s="29">
        <f t="shared" ref="G107:I107" si="58">G108</f>
        <v>154156185.75999999</v>
      </c>
      <c r="H107" s="29">
        <f t="shared" si="58"/>
        <v>154156185.75999999</v>
      </c>
      <c r="I107" s="29">
        <f t="shared" si="58"/>
        <v>151688843.77000001</v>
      </c>
      <c r="J107" s="115">
        <f t="shared" si="40"/>
        <v>98.399453140439462</v>
      </c>
    </row>
    <row r="108" spans="1:11">
      <c r="A108" s="182">
        <v>96</v>
      </c>
      <c r="B108" s="176" t="s">
        <v>24</v>
      </c>
      <c r="C108" s="175" t="s">
        <v>157</v>
      </c>
      <c r="D108" s="175" t="s">
        <v>130</v>
      </c>
      <c r="E108" s="34" t="s">
        <v>175</v>
      </c>
      <c r="F108" s="170">
        <v>540</v>
      </c>
      <c r="G108" s="29">
        <f>135548590+257224.2+1267170.96+177337.72+545000+388096-700000+400000+473836.88+360500+15675000+305000-541570</f>
        <v>154156185.75999999</v>
      </c>
      <c r="H108" s="29">
        <v>154156185.75999999</v>
      </c>
      <c r="I108" s="29">
        <v>151688843.77000001</v>
      </c>
      <c r="J108" s="115">
        <f t="shared" si="40"/>
        <v>98.399453140439462</v>
      </c>
    </row>
    <row r="109" spans="1:11">
      <c r="A109" s="182">
        <v>97</v>
      </c>
      <c r="B109" s="176" t="s">
        <v>283</v>
      </c>
      <c r="C109" s="175" t="s">
        <v>157</v>
      </c>
      <c r="D109" s="175" t="s">
        <v>130</v>
      </c>
      <c r="E109" s="34" t="s">
        <v>176</v>
      </c>
      <c r="F109" s="170"/>
      <c r="G109" s="29">
        <f>G110+G114</f>
        <v>3056436</v>
      </c>
      <c r="H109" s="29">
        <f t="shared" ref="H109:I109" si="59">H110+H114</f>
        <v>3056436</v>
      </c>
      <c r="I109" s="29">
        <f t="shared" si="59"/>
        <v>3051436</v>
      </c>
      <c r="J109" s="115">
        <f t="shared" si="40"/>
        <v>99.836410773855562</v>
      </c>
    </row>
    <row r="110" spans="1:11" ht="28.15" customHeight="1">
      <c r="A110" s="182">
        <v>98</v>
      </c>
      <c r="B110" s="176" t="s">
        <v>381</v>
      </c>
      <c r="C110" s="175" t="s">
        <v>157</v>
      </c>
      <c r="D110" s="175" t="s">
        <v>130</v>
      </c>
      <c r="E110" s="34" t="s">
        <v>177</v>
      </c>
      <c r="F110" s="170"/>
      <c r="G110" s="29">
        <f>G111</f>
        <v>233400</v>
      </c>
      <c r="H110" s="29">
        <f t="shared" ref="H110:I110" si="60">H111</f>
        <v>233400</v>
      </c>
      <c r="I110" s="29">
        <f t="shared" si="60"/>
        <v>233400</v>
      </c>
      <c r="J110" s="115">
        <f t="shared" si="40"/>
        <v>100</v>
      </c>
    </row>
    <row r="111" spans="1:11" ht="57.6" customHeight="1">
      <c r="A111" s="182">
        <v>99</v>
      </c>
      <c r="B111" s="176" t="s">
        <v>533</v>
      </c>
      <c r="C111" s="175" t="s">
        <v>157</v>
      </c>
      <c r="D111" s="175" t="s">
        <v>130</v>
      </c>
      <c r="E111" s="34" t="s">
        <v>532</v>
      </c>
      <c r="F111" s="170"/>
      <c r="G111" s="29">
        <f>G112</f>
        <v>233400</v>
      </c>
      <c r="H111" s="29">
        <f t="shared" ref="H111:I111" si="61">H112</f>
        <v>233400</v>
      </c>
      <c r="I111" s="29">
        <f t="shared" si="61"/>
        <v>233400</v>
      </c>
      <c r="J111" s="115">
        <f t="shared" si="40"/>
        <v>100</v>
      </c>
    </row>
    <row r="112" spans="1:11">
      <c r="A112" s="182">
        <v>100</v>
      </c>
      <c r="B112" s="176" t="s">
        <v>501</v>
      </c>
      <c r="C112" s="175" t="s">
        <v>157</v>
      </c>
      <c r="D112" s="175" t="s">
        <v>130</v>
      </c>
      <c r="E112" s="34" t="s">
        <v>177</v>
      </c>
      <c r="F112" s="170">
        <v>500</v>
      </c>
      <c r="G112" s="29">
        <f>G113</f>
        <v>233400</v>
      </c>
      <c r="H112" s="29">
        <f t="shared" ref="H112:I112" si="62">H113</f>
        <v>233400</v>
      </c>
      <c r="I112" s="29">
        <f t="shared" si="62"/>
        <v>233400</v>
      </c>
      <c r="J112" s="115">
        <f t="shared" si="40"/>
        <v>100</v>
      </c>
    </row>
    <row r="113" spans="1:10">
      <c r="A113" s="182">
        <v>101</v>
      </c>
      <c r="B113" s="176" t="s">
        <v>502</v>
      </c>
      <c r="C113" s="175" t="s">
        <v>157</v>
      </c>
      <c r="D113" s="175" t="s">
        <v>130</v>
      </c>
      <c r="E113" s="34" t="s">
        <v>177</v>
      </c>
      <c r="F113" s="170">
        <v>540</v>
      </c>
      <c r="G113" s="29">
        <v>233400</v>
      </c>
      <c r="H113" s="29">
        <v>233400</v>
      </c>
      <c r="I113" s="29">
        <v>233400</v>
      </c>
      <c r="J113" s="115">
        <f t="shared" si="40"/>
        <v>100</v>
      </c>
    </row>
    <row r="114" spans="1:10" ht="18" customHeight="1">
      <c r="A114" s="182">
        <v>102</v>
      </c>
      <c r="B114" s="176" t="s">
        <v>289</v>
      </c>
      <c r="C114" s="175" t="s">
        <v>157</v>
      </c>
      <c r="D114" s="175" t="s">
        <v>130</v>
      </c>
      <c r="E114" s="34" t="s">
        <v>191</v>
      </c>
      <c r="F114" s="170"/>
      <c r="G114" s="29">
        <f>G115</f>
        <v>2823036</v>
      </c>
      <c r="H114" s="29">
        <f t="shared" ref="H114:I114" si="63">H115</f>
        <v>2823036</v>
      </c>
      <c r="I114" s="29">
        <f t="shared" si="63"/>
        <v>2818036</v>
      </c>
      <c r="J114" s="115">
        <f t="shared" si="40"/>
        <v>99.822885715945532</v>
      </c>
    </row>
    <row r="115" spans="1:10" ht="49.15" customHeight="1">
      <c r="A115" s="182">
        <v>103</v>
      </c>
      <c r="B115" s="176" t="s">
        <v>499</v>
      </c>
      <c r="C115" s="175" t="s">
        <v>157</v>
      </c>
      <c r="D115" s="175" t="s">
        <v>130</v>
      </c>
      <c r="E115" s="34" t="s">
        <v>500</v>
      </c>
      <c r="F115" s="170"/>
      <c r="G115" s="29">
        <f>G116</f>
        <v>2823036</v>
      </c>
      <c r="H115" s="29">
        <f>H116</f>
        <v>2823036</v>
      </c>
      <c r="I115" s="29">
        <f>I116</f>
        <v>2818036</v>
      </c>
      <c r="J115" s="115">
        <f t="shared" si="40"/>
        <v>99.822885715945532</v>
      </c>
    </row>
    <row r="116" spans="1:10" ht="19.899999999999999" customHeight="1">
      <c r="A116" s="182">
        <v>104</v>
      </c>
      <c r="B116" s="176" t="s">
        <v>501</v>
      </c>
      <c r="C116" s="175" t="s">
        <v>157</v>
      </c>
      <c r="D116" s="175" t="s">
        <v>130</v>
      </c>
      <c r="E116" s="34" t="s">
        <v>500</v>
      </c>
      <c r="F116" s="170">
        <v>500</v>
      </c>
      <c r="G116" s="29">
        <f>G117</f>
        <v>2823036</v>
      </c>
      <c r="H116" s="29">
        <f>H117</f>
        <v>2823036</v>
      </c>
      <c r="I116" s="29">
        <f>I117</f>
        <v>2818036</v>
      </c>
      <c r="J116" s="115">
        <f t="shared" si="40"/>
        <v>99.822885715945532</v>
      </c>
    </row>
    <row r="117" spans="1:10">
      <c r="A117" s="182">
        <v>105</v>
      </c>
      <c r="B117" s="176" t="s">
        <v>502</v>
      </c>
      <c r="C117" s="175" t="s">
        <v>157</v>
      </c>
      <c r="D117" s="175" t="s">
        <v>130</v>
      </c>
      <c r="E117" s="34" t="s">
        <v>500</v>
      </c>
      <c r="F117" s="170">
        <v>540</v>
      </c>
      <c r="G117" s="29">
        <v>2823036</v>
      </c>
      <c r="H117" s="29">
        <v>2823036</v>
      </c>
      <c r="I117" s="29">
        <v>2818036</v>
      </c>
      <c r="J117" s="115">
        <f t="shared" si="40"/>
        <v>99.822885715945532</v>
      </c>
    </row>
    <row r="118" spans="1:10" ht="24.75" customHeight="1">
      <c r="A118" s="182">
        <v>106</v>
      </c>
      <c r="B118" s="49" t="s">
        <v>229</v>
      </c>
      <c r="C118" s="46" t="s">
        <v>151</v>
      </c>
      <c r="D118" s="43"/>
      <c r="E118" s="125"/>
      <c r="F118" s="43"/>
      <c r="G118" s="44">
        <f>G119+G204+G247+G274+G283+G265+G187</f>
        <v>176002329.45000002</v>
      </c>
      <c r="H118" s="44">
        <f>H119+H204+H247+H274+H283+H265+H187</f>
        <v>176002329.45000002</v>
      </c>
      <c r="I118" s="44">
        <f>I119+I204+I247+I274+I283+I265+I187</f>
        <v>162806475.53999999</v>
      </c>
      <c r="J118" s="190">
        <f t="shared" si="40"/>
        <v>92.502454966797018</v>
      </c>
    </row>
    <row r="119" spans="1:10">
      <c r="A119" s="182">
        <v>107</v>
      </c>
      <c r="B119" s="51" t="s">
        <v>84</v>
      </c>
      <c r="C119" s="40" t="s">
        <v>151</v>
      </c>
      <c r="D119" s="40" t="s">
        <v>85</v>
      </c>
      <c r="E119" s="112"/>
      <c r="F119" s="73"/>
      <c r="G119" s="29">
        <f>G120+G126+G139+G145+G151</f>
        <v>52056005.120000005</v>
      </c>
      <c r="H119" s="29">
        <f t="shared" ref="H119:I119" si="64">H120+H126+H139+H145+H151</f>
        <v>52056005.120000005</v>
      </c>
      <c r="I119" s="29">
        <f t="shared" si="64"/>
        <v>48849263.359999999</v>
      </c>
      <c r="J119" s="115">
        <f t="shared" si="40"/>
        <v>93.839823565777294</v>
      </c>
    </row>
    <row r="120" spans="1:10" ht="30">
      <c r="A120" s="182">
        <v>108</v>
      </c>
      <c r="B120" s="176" t="s">
        <v>86</v>
      </c>
      <c r="C120" s="40" t="s">
        <v>151</v>
      </c>
      <c r="D120" s="40" t="s">
        <v>87</v>
      </c>
      <c r="E120" s="112"/>
      <c r="F120" s="73"/>
      <c r="G120" s="29">
        <f t="shared" ref="G120:I124" si="65">G121</f>
        <v>2618169.4499999997</v>
      </c>
      <c r="H120" s="29">
        <f t="shared" si="65"/>
        <v>2618169.4500000002</v>
      </c>
      <c r="I120" s="29">
        <f t="shared" si="65"/>
        <v>2572448.37</v>
      </c>
      <c r="J120" s="115">
        <f t="shared" si="40"/>
        <v>98.253700500553919</v>
      </c>
    </row>
    <row r="121" spans="1:10">
      <c r="A121" s="182">
        <v>109</v>
      </c>
      <c r="B121" s="177" t="s">
        <v>253</v>
      </c>
      <c r="C121" s="40" t="s">
        <v>151</v>
      </c>
      <c r="D121" s="40" t="s">
        <v>87</v>
      </c>
      <c r="E121" s="112">
        <v>8500000000</v>
      </c>
      <c r="F121" s="73"/>
      <c r="G121" s="29">
        <f t="shared" si="65"/>
        <v>2618169.4499999997</v>
      </c>
      <c r="H121" s="29">
        <f t="shared" si="65"/>
        <v>2618169.4500000002</v>
      </c>
      <c r="I121" s="29">
        <f t="shared" si="65"/>
        <v>2572448.37</v>
      </c>
      <c r="J121" s="115">
        <f t="shared" si="40"/>
        <v>98.253700500553919</v>
      </c>
    </row>
    <row r="122" spans="1:10">
      <c r="A122" s="182">
        <v>110</v>
      </c>
      <c r="B122" s="177" t="s">
        <v>254</v>
      </c>
      <c r="C122" s="40" t="s">
        <v>151</v>
      </c>
      <c r="D122" s="40" t="s">
        <v>87</v>
      </c>
      <c r="E122" s="112">
        <v>8510000000</v>
      </c>
      <c r="F122" s="73"/>
      <c r="G122" s="29">
        <f t="shared" si="65"/>
        <v>2618169.4499999997</v>
      </c>
      <c r="H122" s="29">
        <f t="shared" si="65"/>
        <v>2618169.4500000002</v>
      </c>
      <c r="I122" s="29">
        <f t="shared" si="65"/>
        <v>2572448.37</v>
      </c>
      <c r="J122" s="115">
        <f t="shared" si="40"/>
        <v>98.253700500553919</v>
      </c>
    </row>
    <row r="123" spans="1:10" ht="30">
      <c r="A123" s="182">
        <v>111</v>
      </c>
      <c r="B123" s="171" t="s">
        <v>255</v>
      </c>
      <c r="C123" s="40" t="s">
        <v>151</v>
      </c>
      <c r="D123" s="40" t="s">
        <v>87</v>
      </c>
      <c r="E123" s="112">
        <v>8510000210</v>
      </c>
      <c r="F123" s="73"/>
      <c r="G123" s="29">
        <f t="shared" si="65"/>
        <v>2618169.4499999997</v>
      </c>
      <c r="H123" s="29">
        <f t="shared" si="65"/>
        <v>2618169.4500000002</v>
      </c>
      <c r="I123" s="29">
        <f t="shared" si="65"/>
        <v>2572448.37</v>
      </c>
      <c r="J123" s="115">
        <f t="shared" si="40"/>
        <v>98.253700500553919</v>
      </c>
    </row>
    <row r="124" spans="1:10" ht="45">
      <c r="A124" s="182">
        <v>112</v>
      </c>
      <c r="B124" s="171" t="s">
        <v>144</v>
      </c>
      <c r="C124" s="40" t="s">
        <v>151</v>
      </c>
      <c r="D124" s="40" t="s">
        <v>87</v>
      </c>
      <c r="E124" s="112">
        <v>8510000210</v>
      </c>
      <c r="F124" s="73">
        <v>100</v>
      </c>
      <c r="G124" s="29">
        <f t="shared" si="65"/>
        <v>2618169.4499999997</v>
      </c>
      <c r="H124" s="29">
        <f t="shared" si="65"/>
        <v>2618169.4500000002</v>
      </c>
      <c r="I124" s="29">
        <f t="shared" si="65"/>
        <v>2572448.37</v>
      </c>
      <c r="J124" s="115">
        <f t="shared" si="40"/>
        <v>98.253700500553919</v>
      </c>
    </row>
    <row r="125" spans="1:10">
      <c r="A125" s="182">
        <v>113</v>
      </c>
      <c r="B125" s="178" t="s">
        <v>15</v>
      </c>
      <c r="C125" s="40" t="s">
        <v>151</v>
      </c>
      <c r="D125" s="40" t="s">
        <v>87</v>
      </c>
      <c r="E125" s="112">
        <v>8510000210</v>
      </c>
      <c r="F125" s="73">
        <v>120</v>
      </c>
      <c r="G125" s="29">
        <f>2318139.13+73030.32+227000</f>
        <v>2618169.4499999997</v>
      </c>
      <c r="H125" s="29">
        <v>2618169.4500000002</v>
      </c>
      <c r="I125" s="29">
        <v>2572448.37</v>
      </c>
      <c r="J125" s="115">
        <f t="shared" si="40"/>
        <v>98.253700500553919</v>
      </c>
    </row>
    <row r="126" spans="1:10" ht="30">
      <c r="A126" s="182">
        <v>114</v>
      </c>
      <c r="B126" s="176" t="s">
        <v>16</v>
      </c>
      <c r="C126" s="40" t="s">
        <v>151</v>
      </c>
      <c r="D126" s="40" t="s">
        <v>90</v>
      </c>
      <c r="E126" s="112"/>
      <c r="F126" s="73"/>
      <c r="G126" s="29">
        <f t="shared" ref="G126:I127" si="66">G127</f>
        <v>40514637.219999999</v>
      </c>
      <c r="H126" s="29">
        <f t="shared" si="66"/>
        <v>40514637.219999999</v>
      </c>
      <c r="I126" s="29">
        <f t="shared" si="66"/>
        <v>38209202.870000005</v>
      </c>
      <c r="J126" s="115">
        <f t="shared" si="40"/>
        <v>94.309626080369</v>
      </c>
    </row>
    <row r="127" spans="1:10">
      <c r="A127" s="182">
        <v>115</v>
      </c>
      <c r="B127" s="177" t="s">
        <v>253</v>
      </c>
      <c r="C127" s="40" t="s">
        <v>151</v>
      </c>
      <c r="D127" s="40" t="s">
        <v>90</v>
      </c>
      <c r="E127" s="34" t="s">
        <v>256</v>
      </c>
      <c r="F127" s="73"/>
      <c r="G127" s="29">
        <f t="shared" si="66"/>
        <v>40514637.219999999</v>
      </c>
      <c r="H127" s="29">
        <f t="shared" si="66"/>
        <v>40514637.219999999</v>
      </c>
      <c r="I127" s="29">
        <f t="shared" si="66"/>
        <v>38209202.870000005</v>
      </c>
      <c r="J127" s="115">
        <f t="shared" si="40"/>
        <v>94.309626080369</v>
      </c>
    </row>
    <row r="128" spans="1:10">
      <c r="A128" s="182">
        <v>116</v>
      </c>
      <c r="B128" s="177" t="s">
        <v>254</v>
      </c>
      <c r="C128" s="40" t="s">
        <v>151</v>
      </c>
      <c r="D128" s="40" t="s">
        <v>90</v>
      </c>
      <c r="E128" s="34" t="s">
        <v>257</v>
      </c>
      <c r="F128" s="73"/>
      <c r="G128" s="29">
        <f>G129+G136</f>
        <v>40514637.219999999</v>
      </c>
      <c r="H128" s="29">
        <f t="shared" ref="H128:I128" si="67">H129+H136</f>
        <v>40514637.219999999</v>
      </c>
      <c r="I128" s="29">
        <f t="shared" si="67"/>
        <v>38209202.870000005</v>
      </c>
      <c r="J128" s="115">
        <f t="shared" si="40"/>
        <v>94.309626080369</v>
      </c>
    </row>
    <row r="129" spans="1:10" ht="45">
      <c r="A129" s="182">
        <v>117</v>
      </c>
      <c r="B129" s="171" t="s">
        <v>372</v>
      </c>
      <c r="C129" s="40" t="s">
        <v>151</v>
      </c>
      <c r="D129" s="40" t="s">
        <v>90</v>
      </c>
      <c r="E129" s="34" t="s">
        <v>258</v>
      </c>
      <c r="F129" s="73"/>
      <c r="G129" s="29">
        <f t="shared" ref="G129:I129" si="68">G130+G132+G134</f>
        <v>36181261.189999998</v>
      </c>
      <c r="H129" s="29">
        <f t="shared" si="68"/>
        <v>36181261.189999998</v>
      </c>
      <c r="I129" s="29">
        <f t="shared" si="68"/>
        <v>33881486.770000003</v>
      </c>
      <c r="J129" s="115">
        <f t="shared" si="40"/>
        <v>93.643741692908094</v>
      </c>
    </row>
    <row r="130" spans="1:10" ht="45">
      <c r="A130" s="182">
        <v>118</v>
      </c>
      <c r="B130" s="176" t="s">
        <v>14</v>
      </c>
      <c r="C130" s="40" t="s">
        <v>151</v>
      </c>
      <c r="D130" s="40" t="s">
        <v>90</v>
      </c>
      <c r="E130" s="34" t="s">
        <v>258</v>
      </c>
      <c r="F130" s="73">
        <v>100</v>
      </c>
      <c r="G130" s="29">
        <f t="shared" ref="G130:I130" si="69">G131</f>
        <v>28518726.190000001</v>
      </c>
      <c r="H130" s="29">
        <f t="shared" si="69"/>
        <v>28518726.190000001</v>
      </c>
      <c r="I130" s="29">
        <f t="shared" si="69"/>
        <v>28254747.510000002</v>
      </c>
      <c r="J130" s="115">
        <f t="shared" si="40"/>
        <v>99.074367213173204</v>
      </c>
    </row>
    <row r="131" spans="1:10">
      <c r="A131" s="182">
        <v>119</v>
      </c>
      <c r="B131" s="176" t="s">
        <v>15</v>
      </c>
      <c r="C131" s="40" t="s">
        <v>151</v>
      </c>
      <c r="D131" s="40" t="s">
        <v>90</v>
      </c>
      <c r="E131" s="34" t="s">
        <v>258</v>
      </c>
      <c r="F131" s="73">
        <v>120</v>
      </c>
      <c r="G131" s="29">
        <f>24279303.84+2500818.76-557044.04+0.04+642283.27+986364.32+667000</f>
        <v>28518726.190000001</v>
      </c>
      <c r="H131" s="29">
        <v>28518726.190000001</v>
      </c>
      <c r="I131" s="29">
        <v>28254747.510000002</v>
      </c>
      <c r="J131" s="115">
        <f t="shared" si="40"/>
        <v>99.074367213173204</v>
      </c>
    </row>
    <row r="132" spans="1:10">
      <c r="A132" s="182">
        <v>120</v>
      </c>
      <c r="B132" s="176" t="s">
        <v>19</v>
      </c>
      <c r="C132" s="40" t="s">
        <v>151</v>
      </c>
      <c r="D132" s="40" t="s">
        <v>90</v>
      </c>
      <c r="E132" s="34" t="s">
        <v>258</v>
      </c>
      <c r="F132" s="73">
        <v>200</v>
      </c>
      <c r="G132" s="29">
        <f t="shared" ref="G132:I132" si="70">G133</f>
        <v>6675288.8499999996</v>
      </c>
      <c r="H132" s="29">
        <f t="shared" si="70"/>
        <v>6675288.8499999996</v>
      </c>
      <c r="I132" s="29">
        <f t="shared" si="70"/>
        <v>4639493.1100000003</v>
      </c>
      <c r="J132" s="115">
        <f t="shared" si="40"/>
        <v>69.50250714618889</v>
      </c>
    </row>
    <row r="133" spans="1:10">
      <c r="A133" s="182">
        <v>121</v>
      </c>
      <c r="B133" s="176" t="s">
        <v>20</v>
      </c>
      <c r="C133" s="40" t="s">
        <v>151</v>
      </c>
      <c r="D133" s="40" t="s">
        <v>90</v>
      </c>
      <c r="E133" s="34" t="s">
        <v>258</v>
      </c>
      <c r="F133" s="73">
        <f>240</f>
        <v>240</v>
      </c>
      <c r="G133" s="29">
        <f>6538005+300000-61998-718.15-100000</f>
        <v>6675288.8499999996</v>
      </c>
      <c r="H133" s="29">
        <v>6675288.8499999996</v>
      </c>
      <c r="I133" s="29">
        <v>4639493.1100000003</v>
      </c>
      <c r="J133" s="115">
        <f t="shared" si="40"/>
        <v>69.50250714618889</v>
      </c>
    </row>
    <row r="134" spans="1:10">
      <c r="A134" s="182">
        <v>122</v>
      </c>
      <c r="B134" s="176" t="s">
        <v>31</v>
      </c>
      <c r="C134" s="40" t="s">
        <v>151</v>
      </c>
      <c r="D134" s="40" t="s">
        <v>90</v>
      </c>
      <c r="E134" s="34" t="s">
        <v>258</v>
      </c>
      <c r="F134" s="73">
        <v>800</v>
      </c>
      <c r="G134" s="29">
        <f t="shared" ref="G134:I134" si="71">G135</f>
        <v>987246.15</v>
      </c>
      <c r="H134" s="29">
        <f t="shared" si="71"/>
        <v>987246.15</v>
      </c>
      <c r="I134" s="29">
        <f t="shared" si="71"/>
        <v>987246.15</v>
      </c>
      <c r="J134" s="115">
        <f t="shared" si="40"/>
        <v>100</v>
      </c>
    </row>
    <row r="135" spans="1:10">
      <c r="A135" s="182">
        <v>123</v>
      </c>
      <c r="B135" s="176" t="s">
        <v>79</v>
      </c>
      <c r="C135" s="40" t="s">
        <v>151</v>
      </c>
      <c r="D135" s="40" t="s">
        <v>90</v>
      </c>
      <c r="E135" s="34" t="s">
        <v>258</v>
      </c>
      <c r="F135" s="73">
        <v>850</v>
      </c>
      <c r="G135" s="29">
        <f>824530+61998+718.15+100000</f>
        <v>987246.15</v>
      </c>
      <c r="H135" s="29">
        <v>987246.15</v>
      </c>
      <c r="I135" s="29">
        <v>987246.15</v>
      </c>
      <c r="J135" s="115">
        <f t="shared" si="40"/>
        <v>100</v>
      </c>
    </row>
    <row r="136" spans="1:10" ht="45">
      <c r="A136" s="182">
        <v>124</v>
      </c>
      <c r="B136" s="177" t="s">
        <v>374</v>
      </c>
      <c r="C136" s="40" t="s">
        <v>151</v>
      </c>
      <c r="D136" s="40" t="s">
        <v>90</v>
      </c>
      <c r="E136" s="34" t="s">
        <v>373</v>
      </c>
      <c r="F136" s="73"/>
      <c r="G136" s="29">
        <f t="shared" ref="G136:I137" si="72">G137</f>
        <v>4333376.03</v>
      </c>
      <c r="H136" s="29">
        <f t="shared" si="72"/>
        <v>4333376.03</v>
      </c>
      <c r="I136" s="29">
        <f t="shared" si="72"/>
        <v>4327716.0999999996</v>
      </c>
      <c r="J136" s="115">
        <f t="shared" si="40"/>
        <v>99.869387517704055</v>
      </c>
    </row>
    <row r="137" spans="1:10" ht="45">
      <c r="A137" s="182">
        <v>125</v>
      </c>
      <c r="B137" s="176" t="s">
        <v>14</v>
      </c>
      <c r="C137" s="40" t="s">
        <v>151</v>
      </c>
      <c r="D137" s="40" t="s">
        <v>90</v>
      </c>
      <c r="E137" s="34" t="s">
        <v>373</v>
      </c>
      <c r="F137" s="73">
        <v>100</v>
      </c>
      <c r="G137" s="29">
        <f t="shared" si="72"/>
        <v>4333376.03</v>
      </c>
      <c r="H137" s="29">
        <f t="shared" si="72"/>
        <v>4333376.03</v>
      </c>
      <c r="I137" s="29">
        <f t="shared" si="72"/>
        <v>4327716.0999999996</v>
      </c>
      <c r="J137" s="115">
        <f t="shared" si="40"/>
        <v>99.869387517704055</v>
      </c>
    </row>
    <row r="138" spans="1:10">
      <c r="A138" s="182">
        <v>126</v>
      </c>
      <c r="B138" s="176" t="s">
        <v>15</v>
      </c>
      <c r="C138" s="40" t="s">
        <v>151</v>
      </c>
      <c r="D138" s="40" t="s">
        <v>90</v>
      </c>
      <c r="E138" s="34" t="s">
        <v>373</v>
      </c>
      <c r="F138" s="73">
        <v>120</v>
      </c>
      <c r="G138" s="29">
        <f>4197117.53+114489.4+6769.1+15000</f>
        <v>4333376.03</v>
      </c>
      <c r="H138" s="29">
        <v>4333376.03</v>
      </c>
      <c r="I138" s="115">
        <v>4327716.0999999996</v>
      </c>
      <c r="J138" s="115">
        <f t="shared" si="40"/>
        <v>99.869387517704055</v>
      </c>
    </row>
    <row r="139" spans="1:10">
      <c r="A139" s="182">
        <v>127</v>
      </c>
      <c r="B139" s="51" t="s">
        <v>155</v>
      </c>
      <c r="C139" s="40" t="s">
        <v>151</v>
      </c>
      <c r="D139" s="40" t="s">
        <v>158</v>
      </c>
      <c r="E139" s="112"/>
      <c r="F139" s="73"/>
      <c r="G139" s="29">
        <f t="shared" ref="G139:I139" si="73">G140</f>
        <v>13800</v>
      </c>
      <c r="H139" s="29">
        <f t="shared" si="73"/>
        <v>13800</v>
      </c>
      <c r="I139" s="29">
        <f t="shared" si="73"/>
        <v>13800</v>
      </c>
      <c r="J139" s="115">
        <f t="shared" si="40"/>
        <v>100</v>
      </c>
    </row>
    <row r="140" spans="1:10">
      <c r="A140" s="182">
        <v>128</v>
      </c>
      <c r="B140" s="177" t="s">
        <v>253</v>
      </c>
      <c r="C140" s="40" t="s">
        <v>151</v>
      </c>
      <c r="D140" s="40" t="s">
        <v>158</v>
      </c>
      <c r="E140" s="112">
        <v>8500000000</v>
      </c>
      <c r="F140" s="73"/>
      <c r="G140" s="29">
        <f t="shared" ref="G140:H140" si="74">G142</f>
        <v>13800</v>
      </c>
      <c r="H140" s="29">
        <f t="shared" si="74"/>
        <v>13800</v>
      </c>
      <c r="I140" s="29">
        <f t="shared" ref="I140" si="75">I142</f>
        <v>13800</v>
      </c>
      <c r="J140" s="115">
        <f t="shared" si="40"/>
        <v>100</v>
      </c>
    </row>
    <row r="141" spans="1:10">
      <c r="A141" s="182">
        <v>129</v>
      </c>
      <c r="B141" s="177" t="s">
        <v>254</v>
      </c>
      <c r="C141" s="40" t="s">
        <v>151</v>
      </c>
      <c r="D141" s="40" t="s">
        <v>158</v>
      </c>
      <c r="E141" s="112">
        <v>8510000000</v>
      </c>
      <c r="F141" s="73"/>
      <c r="G141" s="29">
        <f t="shared" ref="G141:I143" si="76">G142</f>
        <v>13800</v>
      </c>
      <c r="H141" s="29">
        <f t="shared" si="76"/>
        <v>13800</v>
      </c>
      <c r="I141" s="29">
        <f t="shared" si="76"/>
        <v>13800</v>
      </c>
      <c r="J141" s="115">
        <f t="shared" si="40"/>
        <v>100</v>
      </c>
    </row>
    <row r="142" spans="1:10" ht="45">
      <c r="A142" s="182">
        <v>130</v>
      </c>
      <c r="B142" s="177" t="s">
        <v>398</v>
      </c>
      <c r="C142" s="40" t="s">
        <v>151</v>
      </c>
      <c r="D142" s="40" t="s">
        <v>158</v>
      </c>
      <c r="E142" s="112">
        <v>8510051200</v>
      </c>
      <c r="F142" s="73"/>
      <c r="G142" s="29">
        <f t="shared" si="76"/>
        <v>13800</v>
      </c>
      <c r="H142" s="29">
        <f t="shared" si="76"/>
        <v>13800</v>
      </c>
      <c r="I142" s="29">
        <f t="shared" si="76"/>
        <v>13800</v>
      </c>
      <c r="J142" s="115">
        <f t="shared" si="40"/>
        <v>100</v>
      </c>
    </row>
    <row r="143" spans="1:10">
      <c r="A143" s="182">
        <v>131</v>
      </c>
      <c r="B143" s="176" t="s">
        <v>19</v>
      </c>
      <c r="C143" s="40" t="s">
        <v>151</v>
      </c>
      <c r="D143" s="40" t="s">
        <v>158</v>
      </c>
      <c r="E143" s="112">
        <v>8510051200</v>
      </c>
      <c r="F143" s="73">
        <v>200</v>
      </c>
      <c r="G143" s="29">
        <f t="shared" si="76"/>
        <v>13800</v>
      </c>
      <c r="H143" s="29">
        <f t="shared" si="76"/>
        <v>13800</v>
      </c>
      <c r="I143" s="29">
        <f t="shared" si="76"/>
        <v>13800</v>
      </c>
      <c r="J143" s="115">
        <f t="shared" ref="J143:J206" si="77">I143/H143*100</f>
        <v>100</v>
      </c>
    </row>
    <row r="144" spans="1:10">
      <c r="A144" s="182">
        <v>132</v>
      </c>
      <c r="B144" s="176" t="s">
        <v>20</v>
      </c>
      <c r="C144" s="40" t="s">
        <v>151</v>
      </c>
      <c r="D144" s="40" t="s">
        <v>158</v>
      </c>
      <c r="E144" s="112">
        <v>8510051200</v>
      </c>
      <c r="F144" s="73">
        <v>240</v>
      </c>
      <c r="G144" s="29">
        <f>1400-800+12000+1200</f>
        <v>13800</v>
      </c>
      <c r="H144" s="29">
        <v>13800</v>
      </c>
      <c r="I144" s="115">
        <v>13800</v>
      </c>
      <c r="J144" s="115">
        <f t="shared" si="77"/>
        <v>100</v>
      </c>
    </row>
    <row r="145" spans="1:10">
      <c r="A145" s="182">
        <v>133</v>
      </c>
      <c r="B145" s="51" t="s">
        <v>30</v>
      </c>
      <c r="C145" s="40" t="s">
        <v>151</v>
      </c>
      <c r="D145" s="40" t="s">
        <v>92</v>
      </c>
      <c r="E145" s="112"/>
      <c r="F145" s="73"/>
      <c r="G145" s="29">
        <f t="shared" ref="G145:I145" si="78">G146</f>
        <v>150000</v>
      </c>
      <c r="H145" s="29">
        <f t="shared" si="78"/>
        <v>150000</v>
      </c>
      <c r="I145" s="29">
        <f t="shared" si="78"/>
        <v>0</v>
      </c>
      <c r="J145" s="115">
        <f t="shared" si="77"/>
        <v>0</v>
      </c>
    </row>
    <row r="146" spans="1:10">
      <c r="A146" s="182">
        <v>134</v>
      </c>
      <c r="B146" s="177" t="s">
        <v>253</v>
      </c>
      <c r="C146" s="40" t="s">
        <v>151</v>
      </c>
      <c r="D146" s="40" t="s">
        <v>92</v>
      </c>
      <c r="E146" s="112">
        <v>8500000000</v>
      </c>
      <c r="F146" s="73"/>
      <c r="G146" s="29">
        <f t="shared" ref="G146:H146" si="79">G148</f>
        <v>150000</v>
      </c>
      <c r="H146" s="29">
        <f t="shared" si="79"/>
        <v>150000</v>
      </c>
      <c r="I146" s="29">
        <f t="shared" ref="I146" si="80">I148</f>
        <v>0</v>
      </c>
      <c r="J146" s="115">
        <f t="shared" si="77"/>
        <v>0</v>
      </c>
    </row>
    <row r="147" spans="1:10">
      <c r="A147" s="182">
        <v>135</v>
      </c>
      <c r="B147" s="177" t="s">
        <v>254</v>
      </c>
      <c r="C147" s="40" t="s">
        <v>151</v>
      </c>
      <c r="D147" s="40" t="s">
        <v>92</v>
      </c>
      <c r="E147" s="112">
        <v>8510000000</v>
      </c>
      <c r="F147" s="73"/>
      <c r="G147" s="29">
        <f t="shared" ref="G147:I149" si="81">G148</f>
        <v>150000</v>
      </c>
      <c r="H147" s="29">
        <f t="shared" si="81"/>
        <v>150000</v>
      </c>
      <c r="I147" s="29">
        <f t="shared" si="81"/>
        <v>0</v>
      </c>
      <c r="J147" s="115">
        <f t="shared" si="77"/>
        <v>0</v>
      </c>
    </row>
    <row r="148" spans="1:10">
      <c r="A148" s="182">
        <v>136</v>
      </c>
      <c r="B148" s="30" t="s">
        <v>33</v>
      </c>
      <c r="C148" s="40" t="s">
        <v>151</v>
      </c>
      <c r="D148" s="40" t="s">
        <v>92</v>
      </c>
      <c r="E148" s="112">
        <v>8510010110</v>
      </c>
      <c r="F148" s="73"/>
      <c r="G148" s="29">
        <f t="shared" si="81"/>
        <v>150000</v>
      </c>
      <c r="H148" s="29">
        <f t="shared" si="81"/>
        <v>150000</v>
      </c>
      <c r="I148" s="29">
        <f t="shared" si="81"/>
        <v>0</v>
      </c>
      <c r="J148" s="115">
        <f t="shared" si="77"/>
        <v>0</v>
      </c>
    </row>
    <row r="149" spans="1:10">
      <c r="A149" s="182">
        <v>137</v>
      </c>
      <c r="B149" s="176" t="s">
        <v>31</v>
      </c>
      <c r="C149" s="40" t="s">
        <v>151</v>
      </c>
      <c r="D149" s="40" t="s">
        <v>92</v>
      </c>
      <c r="E149" s="112">
        <v>8510010110</v>
      </c>
      <c r="F149" s="73">
        <v>800</v>
      </c>
      <c r="G149" s="29">
        <f t="shared" si="81"/>
        <v>150000</v>
      </c>
      <c r="H149" s="29">
        <f t="shared" si="81"/>
        <v>150000</v>
      </c>
      <c r="I149" s="29">
        <f t="shared" si="81"/>
        <v>0</v>
      </c>
      <c r="J149" s="115">
        <f t="shared" si="77"/>
        <v>0</v>
      </c>
    </row>
    <row r="150" spans="1:10">
      <c r="A150" s="182">
        <v>138</v>
      </c>
      <c r="B150" s="176" t="s">
        <v>32</v>
      </c>
      <c r="C150" s="40" t="s">
        <v>151</v>
      </c>
      <c r="D150" s="40" t="s">
        <v>92</v>
      </c>
      <c r="E150" s="112">
        <v>8510010110</v>
      </c>
      <c r="F150" s="73">
        <v>870</v>
      </c>
      <c r="G150" s="29">
        <v>150000</v>
      </c>
      <c r="H150" s="29">
        <v>150000</v>
      </c>
      <c r="I150" s="115">
        <v>0</v>
      </c>
      <c r="J150" s="115">
        <f t="shared" si="77"/>
        <v>0</v>
      </c>
    </row>
    <row r="151" spans="1:10">
      <c r="A151" s="182">
        <v>139</v>
      </c>
      <c r="B151" s="51" t="s">
        <v>34</v>
      </c>
      <c r="C151" s="40" t="s">
        <v>151</v>
      </c>
      <c r="D151" s="40" t="s">
        <v>93</v>
      </c>
      <c r="E151" s="112"/>
      <c r="F151" s="73"/>
      <c r="G151" s="29">
        <f>G152+G176</f>
        <v>8759398.4499999993</v>
      </c>
      <c r="H151" s="29">
        <f t="shared" ref="H151:I151" si="82">H152+H176</f>
        <v>8759398.4499999993</v>
      </c>
      <c r="I151" s="29">
        <f t="shared" si="82"/>
        <v>8053812.1199999992</v>
      </c>
      <c r="J151" s="115">
        <f t="shared" si="77"/>
        <v>91.944808378936116</v>
      </c>
    </row>
    <row r="152" spans="1:10">
      <c r="A152" s="182">
        <v>140</v>
      </c>
      <c r="B152" s="177" t="s">
        <v>253</v>
      </c>
      <c r="C152" s="40" t="s">
        <v>151</v>
      </c>
      <c r="D152" s="40" t="s">
        <v>93</v>
      </c>
      <c r="E152" s="112">
        <v>8500000000</v>
      </c>
      <c r="F152" s="73"/>
      <c r="G152" s="29">
        <f t="shared" ref="G152:I152" si="83">G153</f>
        <v>2392588.4500000002</v>
      </c>
      <c r="H152" s="29">
        <f t="shared" si="83"/>
        <v>2392588.4500000002</v>
      </c>
      <c r="I152" s="29">
        <f t="shared" si="83"/>
        <v>2083372.9999999998</v>
      </c>
      <c r="J152" s="115">
        <f t="shared" si="77"/>
        <v>87.076112065992788</v>
      </c>
    </row>
    <row r="153" spans="1:10">
      <c r="A153" s="182">
        <v>141</v>
      </c>
      <c r="B153" s="177" t="s">
        <v>254</v>
      </c>
      <c r="C153" s="40" t="s">
        <v>151</v>
      </c>
      <c r="D153" s="40" t="s">
        <v>93</v>
      </c>
      <c r="E153" s="112">
        <v>8510000000</v>
      </c>
      <c r="F153" s="73"/>
      <c r="G153" s="29">
        <f>G154+G159+G164+G167+G170+G173</f>
        <v>2392588.4500000002</v>
      </c>
      <c r="H153" s="29">
        <f t="shared" ref="H153:I153" si="84">H154+H159+H164+H167+H170+H173</f>
        <v>2392588.4500000002</v>
      </c>
      <c r="I153" s="29">
        <f t="shared" si="84"/>
        <v>2083372.9999999998</v>
      </c>
      <c r="J153" s="115">
        <f t="shared" si="77"/>
        <v>87.076112065992788</v>
      </c>
    </row>
    <row r="154" spans="1:10" ht="45">
      <c r="A154" s="182">
        <v>142</v>
      </c>
      <c r="B154" s="178" t="s">
        <v>35</v>
      </c>
      <c r="C154" s="40" t="s">
        <v>151</v>
      </c>
      <c r="D154" s="40" t="s">
        <v>93</v>
      </c>
      <c r="E154" s="112">
        <v>8510074290</v>
      </c>
      <c r="F154" s="73"/>
      <c r="G154" s="29">
        <f t="shared" ref="G154:I154" si="85">G155+G157</f>
        <v>41900</v>
      </c>
      <c r="H154" s="29">
        <f t="shared" si="85"/>
        <v>41900</v>
      </c>
      <c r="I154" s="29">
        <f t="shared" si="85"/>
        <v>29995.46</v>
      </c>
      <c r="J154" s="115">
        <f t="shared" si="77"/>
        <v>71.588210023866353</v>
      </c>
    </row>
    <row r="155" spans="1:10" ht="45">
      <c r="A155" s="182">
        <v>143</v>
      </c>
      <c r="B155" s="176" t="s">
        <v>14</v>
      </c>
      <c r="C155" s="40" t="s">
        <v>151</v>
      </c>
      <c r="D155" s="40" t="s">
        <v>93</v>
      </c>
      <c r="E155" s="112">
        <v>8510074290</v>
      </c>
      <c r="F155" s="73">
        <v>100</v>
      </c>
      <c r="G155" s="29">
        <f t="shared" ref="G155:I155" si="86">G156</f>
        <v>39709.64</v>
      </c>
      <c r="H155" s="29">
        <f t="shared" si="86"/>
        <v>39709.64</v>
      </c>
      <c r="I155" s="29">
        <f t="shared" si="86"/>
        <v>27805.1</v>
      </c>
      <c r="J155" s="115">
        <f t="shared" si="77"/>
        <v>70.021032676196498</v>
      </c>
    </row>
    <row r="156" spans="1:10">
      <c r="A156" s="182">
        <v>144</v>
      </c>
      <c r="B156" s="176" t="s">
        <v>15</v>
      </c>
      <c r="C156" s="40" t="s">
        <v>151</v>
      </c>
      <c r="D156" s="40" t="s">
        <v>93</v>
      </c>
      <c r="E156" s="112">
        <v>8510074290</v>
      </c>
      <c r="F156" s="73">
        <v>120</v>
      </c>
      <c r="G156" s="29">
        <f>63109.64+1800-25200</f>
        <v>39709.64</v>
      </c>
      <c r="H156" s="29">
        <v>39709.64</v>
      </c>
      <c r="I156" s="115">
        <v>27805.1</v>
      </c>
      <c r="J156" s="115">
        <f t="shared" si="77"/>
        <v>70.021032676196498</v>
      </c>
    </row>
    <row r="157" spans="1:10">
      <c r="A157" s="182">
        <v>145</v>
      </c>
      <c r="B157" s="176" t="s">
        <v>19</v>
      </c>
      <c r="C157" s="40" t="s">
        <v>151</v>
      </c>
      <c r="D157" s="40" t="s">
        <v>93</v>
      </c>
      <c r="E157" s="112">
        <v>8510074290</v>
      </c>
      <c r="F157" s="73">
        <v>200</v>
      </c>
      <c r="G157" s="29">
        <f t="shared" ref="G157:I157" si="87">G158</f>
        <v>2190.36</v>
      </c>
      <c r="H157" s="29">
        <f t="shared" si="87"/>
        <v>2190.36</v>
      </c>
      <c r="I157" s="29">
        <f t="shared" si="87"/>
        <v>2190.36</v>
      </c>
      <c r="J157" s="115">
        <f t="shared" si="77"/>
        <v>100</v>
      </c>
    </row>
    <row r="158" spans="1:10">
      <c r="A158" s="182">
        <v>146</v>
      </c>
      <c r="B158" s="176" t="s">
        <v>20</v>
      </c>
      <c r="C158" s="40" t="s">
        <v>151</v>
      </c>
      <c r="D158" s="40" t="s">
        <v>93</v>
      </c>
      <c r="E158" s="112">
        <v>8510074290</v>
      </c>
      <c r="F158" s="73">
        <v>240</v>
      </c>
      <c r="G158" s="29">
        <v>2190.36</v>
      </c>
      <c r="H158" s="29">
        <v>2190.36</v>
      </c>
      <c r="I158" s="115">
        <v>2190.36</v>
      </c>
      <c r="J158" s="115">
        <f t="shared" si="77"/>
        <v>100</v>
      </c>
    </row>
    <row r="159" spans="1:10" ht="30">
      <c r="A159" s="182">
        <v>147</v>
      </c>
      <c r="B159" s="171" t="s">
        <v>29</v>
      </c>
      <c r="C159" s="40" t="s">
        <v>151</v>
      </c>
      <c r="D159" s="40" t="s">
        <v>93</v>
      </c>
      <c r="E159" s="112">
        <v>8510076040</v>
      </c>
      <c r="F159" s="73"/>
      <c r="G159" s="29">
        <f t="shared" ref="G159:H159" si="88">G160+G162</f>
        <v>995399</v>
      </c>
      <c r="H159" s="29">
        <f t="shared" si="88"/>
        <v>995399</v>
      </c>
      <c r="I159" s="29">
        <f t="shared" ref="I159" si="89">I160+I162</f>
        <v>987599.34</v>
      </c>
      <c r="J159" s="115">
        <f t="shared" si="77"/>
        <v>99.216428788857527</v>
      </c>
    </row>
    <row r="160" spans="1:10" ht="45">
      <c r="A160" s="182">
        <v>148</v>
      </c>
      <c r="B160" s="176" t="s">
        <v>14</v>
      </c>
      <c r="C160" s="40" t="s">
        <v>151</v>
      </c>
      <c r="D160" s="40" t="s">
        <v>93</v>
      </c>
      <c r="E160" s="112">
        <v>8510076040</v>
      </c>
      <c r="F160" s="73">
        <v>100</v>
      </c>
      <c r="G160" s="29">
        <f t="shared" ref="G160:I160" si="90">G161</f>
        <v>929965.23</v>
      </c>
      <c r="H160" s="29">
        <f t="shared" si="90"/>
        <v>929965.23</v>
      </c>
      <c r="I160" s="29">
        <f t="shared" si="90"/>
        <v>922246.34</v>
      </c>
      <c r="J160" s="115">
        <f t="shared" si="77"/>
        <v>99.169980795948689</v>
      </c>
    </row>
    <row r="161" spans="1:13">
      <c r="A161" s="182">
        <v>149</v>
      </c>
      <c r="B161" s="176" t="s">
        <v>15</v>
      </c>
      <c r="C161" s="40" t="s">
        <v>151</v>
      </c>
      <c r="D161" s="40" t="s">
        <v>93</v>
      </c>
      <c r="E161" s="112">
        <v>8510076040</v>
      </c>
      <c r="F161" s="73">
        <v>120</v>
      </c>
      <c r="G161" s="29">
        <f>901566.23+28399</f>
        <v>929965.23</v>
      </c>
      <c r="H161" s="29">
        <v>929965.23</v>
      </c>
      <c r="I161" s="115">
        <v>922246.34</v>
      </c>
      <c r="J161" s="115">
        <f t="shared" si="77"/>
        <v>99.169980795948689</v>
      </c>
    </row>
    <row r="162" spans="1:13">
      <c r="A162" s="182">
        <v>150</v>
      </c>
      <c r="B162" s="176" t="s">
        <v>19</v>
      </c>
      <c r="C162" s="40" t="s">
        <v>151</v>
      </c>
      <c r="D162" s="40" t="s">
        <v>93</v>
      </c>
      <c r="E162" s="112">
        <v>8510076040</v>
      </c>
      <c r="F162" s="73">
        <v>200</v>
      </c>
      <c r="G162" s="29">
        <f t="shared" ref="G162:I162" si="91">G163</f>
        <v>65433.77</v>
      </c>
      <c r="H162" s="29">
        <f t="shared" si="91"/>
        <v>65433.77</v>
      </c>
      <c r="I162" s="29">
        <f t="shared" si="91"/>
        <v>65353</v>
      </c>
      <c r="J162" s="115">
        <f t="shared" si="77"/>
        <v>99.876562209391267</v>
      </c>
    </row>
    <row r="163" spans="1:13">
      <c r="A163" s="182">
        <v>151</v>
      </c>
      <c r="B163" s="176" t="s">
        <v>20</v>
      </c>
      <c r="C163" s="40" t="s">
        <v>151</v>
      </c>
      <c r="D163" s="40" t="s">
        <v>93</v>
      </c>
      <c r="E163" s="112">
        <v>8510076040</v>
      </c>
      <c r="F163" s="73">
        <v>240</v>
      </c>
      <c r="G163" s="29">
        <f>65433.77</f>
        <v>65433.77</v>
      </c>
      <c r="H163" s="29">
        <v>65433.77</v>
      </c>
      <c r="I163" s="115">
        <v>65353</v>
      </c>
      <c r="J163" s="115">
        <f t="shared" si="77"/>
        <v>99.876562209391267</v>
      </c>
    </row>
    <row r="164" spans="1:13" ht="45">
      <c r="A164" s="182">
        <v>152</v>
      </c>
      <c r="B164" s="171" t="s">
        <v>36</v>
      </c>
      <c r="C164" s="40" t="s">
        <v>151</v>
      </c>
      <c r="D164" s="40" t="s">
        <v>93</v>
      </c>
      <c r="E164" s="112">
        <v>8510092020</v>
      </c>
      <c r="F164" s="73"/>
      <c r="G164" s="29">
        <f>G165</f>
        <v>500000</v>
      </c>
      <c r="H164" s="29">
        <f t="shared" ref="H164:I164" si="92">H165</f>
        <v>500000</v>
      </c>
      <c r="I164" s="29">
        <f t="shared" si="92"/>
        <v>351441.02</v>
      </c>
      <c r="J164" s="115">
        <f t="shared" si="77"/>
        <v>70.288203999999993</v>
      </c>
    </row>
    <row r="165" spans="1:13">
      <c r="A165" s="182">
        <v>153</v>
      </c>
      <c r="B165" s="176" t="s">
        <v>31</v>
      </c>
      <c r="C165" s="40" t="s">
        <v>151</v>
      </c>
      <c r="D165" s="40" t="s">
        <v>93</v>
      </c>
      <c r="E165" s="112">
        <v>8510092020</v>
      </c>
      <c r="F165" s="73">
        <v>800</v>
      </c>
      <c r="G165" s="29">
        <f t="shared" ref="G165:I165" si="93">G166</f>
        <v>500000</v>
      </c>
      <c r="H165" s="29">
        <f t="shared" si="93"/>
        <v>500000</v>
      </c>
      <c r="I165" s="29">
        <f t="shared" si="93"/>
        <v>351441.02</v>
      </c>
      <c r="J165" s="115">
        <f t="shared" si="77"/>
        <v>70.288203999999993</v>
      </c>
    </row>
    <row r="166" spans="1:13">
      <c r="A166" s="182">
        <v>154</v>
      </c>
      <c r="B166" s="31" t="s">
        <v>37</v>
      </c>
      <c r="C166" s="40" t="s">
        <v>151</v>
      </c>
      <c r="D166" s="40" t="s">
        <v>93</v>
      </c>
      <c r="E166" s="112">
        <v>8510092020</v>
      </c>
      <c r="F166" s="73">
        <v>830</v>
      </c>
      <c r="G166" s="29">
        <v>500000</v>
      </c>
      <c r="H166" s="29">
        <v>500000</v>
      </c>
      <c r="I166" s="115">
        <v>351441.02</v>
      </c>
      <c r="J166" s="115">
        <f t="shared" si="77"/>
        <v>70.288203999999993</v>
      </c>
    </row>
    <row r="167" spans="1:13" ht="30">
      <c r="A167" s="182">
        <v>155</v>
      </c>
      <c r="B167" s="171" t="s">
        <v>242</v>
      </c>
      <c r="C167" s="34" t="s">
        <v>151</v>
      </c>
      <c r="D167" s="40" t="s">
        <v>93</v>
      </c>
      <c r="E167" s="112" t="s">
        <v>261</v>
      </c>
      <c r="F167" s="73"/>
      <c r="G167" s="29">
        <f t="shared" ref="G167:I168" si="94">G168</f>
        <v>197672.93</v>
      </c>
      <c r="H167" s="29">
        <f t="shared" si="94"/>
        <v>197672.93</v>
      </c>
      <c r="I167" s="29">
        <f t="shared" si="94"/>
        <v>197672.93</v>
      </c>
      <c r="J167" s="115">
        <f t="shared" si="77"/>
        <v>100</v>
      </c>
    </row>
    <row r="168" spans="1:13">
      <c r="A168" s="182">
        <v>156</v>
      </c>
      <c r="B168" s="176" t="s">
        <v>19</v>
      </c>
      <c r="C168" s="34" t="s">
        <v>151</v>
      </c>
      <c r="D168" s="40" t="s">
        <v>93</v>
      </c>
      <c r="E168" s="112" t="s">
        <v>261</v>
      </c>
      <c r="F168" s="73">
        <v>200</v>
      </c>
      <c r="G168" s="29">
        <f t="shared" si="94"/>
        <v>197672.93</v>
      </c>
      <c r="H168" s="29">
        <f t="shared" si="94"/>
        <v>197672.93</v>
      </c>
      <c r="I168" s="29">
        <f t="shared" si="94"/>
        <v>197672.93</v>
      </c>
      <c r="J168" s="115">
        <f t="shared" si="77"/>
        <v>100</v>
      </c>
    </row>
    <row r="169" spans="1:13">
      <c r="A169" s="182">
        <v>157</v>
      </c>
      <c r="B169" s="176" t="s">
        <v>20</v>
      </c>
      <c r="C169" s="34" t="s">
        <v>151</v>
      </c>
      <c r="D169" s="40" t="s">
        <v>93</v>
      </c>
      <c r="E169" s="112" t="s">
        <v>261</v>
      </c>
      <c r="F169" s="73">
        <v>240</v>
      </c>
      <c r="G169" s="29">
        <f>30000+167672.93</f>
        <v>197672.93</v>
      </c>
      <c r="H169" s="29">
        <v>197672.93</v>
      </c>
      <c r="I169" s="115">
        <v>197672.93</v>
      </c>
      <c r="J169" s="115">
        <f t="shared" si="77"/>
        <v>100</v>
      </c>
    </row>
    <row r="170" spans="1:13" s="59" customFormat="1">
      <c r="A170" s="182">
        <v>158</v>
      </c>
      <c r="B170" s="177" t="s">
        <v>404</v>
      </c>
      <c r="C170" s="175" t="s">
        <v>151</v>
      </c>
      <c r="D170" s="175" t="s">
        <v>93</v>
      </c>
      <c r="E170" s="112">
        <v>8510084570</v>
      </c>
      <c r="F170" s="170"/>
      <c r="G170" s="29">
        <f t="shared" ref="G170:I171" si="95">G171</f>
        <v>57616.52</v>
      </c>
      <c r="H170" s="29">
        <f t="shared" si="95"/>
        <v>57616.52</v>
      </c>
      <c r="I170" s="29">
        <f t="shared" si="95"/>
        <v>39998</v>
      </c>
      <c r="J170" s="115">
        <f t="shared" si="77"/>
        <v>69.42106187600362</v>
      </c>
      <c r="K170" s="118"/>
      <c r="L170" s="118"/>
      <c r="M170" s="130"/>
    </row>
    <row r="171" spans="1:13" s="59" customFormat="1">
      <c r="A171" s="182">
        <v>159</v>
      </c>
      <c r="B171" s="176" t="s">
        <v>19</v>
      </c>
      <c r="C171" s="175" t="s">
        <v>151</v>
      </c>
      <c r="D171" s="175" t="s">
        <v>93</v>
      </c>
      <c r="E171" s="112">
        <v>8510084570</v>
      </c>
      <c r="F171" s="170">
        <v>200</v>
      </c>
      <c r="G171" s="29">
        <f t="shared" si="95"/>
        <v>57616.52</v>
      </c>
      <c r="H171" s="29">
        <f t="shared" si="95"/>
        <v>57616.52</v>
      </c>
      <c r="I171" s="29">
        <f t="shared" si="95"/>
        <v>39998</v>
      </c>
      <c r="J171" s="115">
        <f t="shared" si="77"/>
        <v>69.42106187600362</v>
      </c>
      <c r="K171" s="118"/>
      <c r="L171" s="118"/>
      <c r="M171" s="130"/>
    </row>
    <row r="172" spans="1:13" s="59" customFormat="1">
      <c r="A172" s="182">
        <v>160</v>
      </c>
      <c r="B172" s="176" t="s">
        <v>20</v>
      </c>
      <c r="C172" s="175" t="s">
        <v>151</v>
      </c>
      <c r="D172" s="175" t="s">
        <v>93</v>
      </c>
      <c r="E172" s="112">
        <v>8510084570</v>
      </c>
      <c r="F172" s="170">
        <v>240</v>
      </c>
      <c r="G172" s="29">
        <f>35720.52+21896</f>
        <v>57616.52</v>
      </c>
      <c r="H172" s="29">
        <v>57616.52</v>
      </c>
      <c r="I172" s="115">
        <v>39998</v>
      </c>
      <c r="J172" s="115">
        <f t="shared" si="77"/>
        <v>69.42106187600362</v>
      </c>
      <c r="K172" s="118"/>
      <c r="L172" s="118"/>
      <c r="M172" s="130"/>
    </row>
    <row r="173" spans="1:13" s="59" customFormat="1" ht="30">
      <c r="A173" s="182">
        <v>161</v>
      </c>
      <c r="B173" s="177" t="s">
        <v>425</v>
      </c>
      <c r="C173" s="175" t="s">
        <v>151</v>
      </c>
      <c r="D173" s="175" t="s">
        <v>93</v>
      </c>
      <c r="E173" s="112">
        <v>8510084580</v>
      </c>
      <c r="F173" s="170"/>
      <c r="G173" s="29">
        <f t="shared" ref="G173:I174" si="96">G174</f>
        <v>600000</v>
      </c>
      <c r="H173" s="29">
        <f t="shared" si="96"/>
        <v>600000</v>
      </c>
      <c r="I173" s="29">
        <f t="shared" si="96"/>
        <v>476666.25</v>
      </c>
      <c r="J173" s="115">
        <f t="shared" si="77"/>
        <v>79.444374999999994</v>
      </c>
      <c r="K173" s="118"/>
      <c r="L173" s="118"/>
      <c r="M173" s="130"/>
    </row>
    <row r="174" spans="1:13" s="59" customFormat="1">
      <c r="A174" s="182">
        <v>162</v>
      </c>
      <c r="B174" s="176" t="s">
        <v>19</v>
      </c>
      <c r="C174" s="175" t="s">
        <v>151</v>
      </c>
      <c r="D174" s="175" t="s">
        <v>93</v>
      </c>
      <c r="E174" s="112">
        <v>8510084580</v>
      </c>
      <c r="F174" s="170">
        <v>200</v>
      </c>
      <c r="G174" s="29">
        <f t="shared" si="96"/>
        <v>600000</v>
      </c>
      <c r="H174" s="29">
        <f t="shared" si="96"/>
        <v>600000</v>
      </c>
      <c r="I174" s="29">
        <f t="shared" si="96"/>
        <v>476666.25</v>
      </c>
      <c r="J174" s="115">
        <f t="shared" si="77"/>
        <v>79.444374999999994</v>
      </c>
      <c r="K174" s="118"/>
      <c r="L174" s="118"/>
      <c r="M174" s="130"/>
    </row>
    <row r="175" spans="1:13" s="59" customFormat="1">
      <c r="A175" s="182">
        <v>163</v>
      </c>
      <c r="B175" s="176" t="s">
        <v>20</v>
      </c>
      <c r="C175" s="175" t="s">
        <v>151</v>
      </c>
      <c r="D175" s="175" t="s">
        <v>93</v>
      </c>
      <c r="E175" s="112">
        <v>8510084580</v>
      </c>
      <c r="F175" s="170">
        <v>240</v>
      </c>
      <c r="G175" s="29">
        <f>400000+200000</f>
        <v>600000</v>
      </c>
      <c r="H175" s="29">
        <v>600000</v>
      </c>
      <c r="I175" s="115">
        <v>476666.25</v>
      </c>
      <c r="J175" s="115">
        <f t="shared" si="77"/>
        <v>79.444374999999994</v>
      </c>
      <c r="K175" s="118"/>
      <c r="L175" s="118"/>
      <c r="M175" s="130"/>
    </row>
    <row r="176" spans="1:13" ht="30">
      <c r="A176" s="182">
        <v>164</v>
      </c>
      <c r="B176" s="122" t="s">
        <v>262</v>
      </c>
      <c r="C176" s="40" t="s">
        <v>151</v>
      </c>
      <c r="D176" s="40" t="s">
        <v>93</v>
      </c>
      <c r="E176" s="112">
        <v>1100000000</v>
      </c>
      <c r="F176" s="73"/>
      <c r="G176" s="29">
        <f t="shared" ref="G176:I176" si="97">G181+G177</f>
        <v>6366810</v>
      </c>
      <c r="H176" s="29">
        <f t="shared" si="97"/>
        <v>6366810</v>
      </c>
      <c r="I176" s="29">
        <f t="shared" si="97"/>
        <v>5970439.1199999992</v>
      </c>
      <c r="J176" s="115">
        <f t="shared" si="77"/>
        <v>93.774419528774999</v>
      </c>
    </row>
    <row r="177" spans="1:10" ht="61.5" customHeight="1">
      <c r="A177" s="182">
        <v>165</v>
      </c>
      <c r="B177" s="171" t="s">
        <v>480</v>
      </c>
      <c r="C177" s="40" t="s">
        <v>151</v>
      </c>
      <c r="D177" s="40" t="s">
        <v>93</v>
      </c>
      <c r="E177" s="112">
        <v>1140000000</v>
      </c>
      <c r="F177" s="73"/>
      <c r="G177" s="29">
        <f t="shared" ref="G177:I179" si="98">G178</f>
        <v>5382710</v>
      </c>
      <c r="H177" s="29">
        <f t="shared" si="98"/>
        <v>5382710</v>
      </c>
      <c r="I177" s="29">
        <f t="shared" si="98"/>
        <v>5003471.2699999996</v>
      </c>
      <c r="J177" s="115">
        <f t="shared" si="77"/>
        <v>92.954501914463151</v>
      </c>
    </row>
    <row r="178" spans="1:10" ht="60">
      <c r="A178" s="182">
        <v>166</v>
      </c>
      <c r="B178" s="176" t="s">
        <v>424</v>
      </c>
      <c r="C178" s="40" t="s">
        <v>151</v>
      </c>
      <c r="D178" s="40" t="s">
        <v>93</v>
      </c>
      <c r="E178" s="112">
        <v>1140092040</v>
      </c>
      <c r="F178" s="73"/>
      <c r="G178" s="29">
        <f t="shared" si="98"/>
        <v>5382710</v>
      </c>
      <c r="H178" s="29">
        <f t="shared" si="98"/>
        <v>5382710</v>
      </c>
      <c r="I178" s="29">
        <f t="shared" si="98"/>
        <v>5003471.2699999996</v>
      </c>
      <c r="J178" s="115">
        <f t="shared" si="77"/>
        <v>92.954501914463151</v>
      </c>
    </row>
    <row r="179" spans="1:10">
      <c r="A179" s="182">
        <v>167</v>
      </c>
      <c r="B179" s="176" t="s">
        <v>19</v>
      </c>
      <c r="C179" s="40" t="s">
        <v>151</v>
      </c>
      <c r="D179" s="40" t="s">
        <v>93</v>
      </c>
      <c r="E179" s="112">
        <v>1140092040</v>
      </c>
      <c r="F179" s="73">
        <v>200</v>
      </c>
      <c r="G179" s="29">
        <f t="shared" si="98"/>
        <v>5382710</v>
      </c>
      <c r="H179" s="29">
        <f t="shared" si="98"/>
        <v>5382710</v>
      </c>
      <c r="I179" s="29">
        <f t="shared" si="98"/>
        <v>5003471.2699999996</v>
      </c>
      <c r="J179" s="115">
        <f t="shared" si="77"/>
        <v>92.954501914463151</v>
      </c>
    </row>
    <row r="180" spans="1:10">
      <c r="A180" s="182">
        <v>168</v>
      </c>
      <c r="B180" s="176" t="s">
        <v>20</v>
      </c>
      <c r="C180" s="40" t="s">
        <v>151</v>
      </c>
      <c r="D180" s="40" t="s">
        <v>93</v>
      </c>
      <c r="E180" s="112">
        <v>1140092040</v>
      </c>
      <c r="F180" s="73">
        <v>240</v>
      </c>
      <c r="G180" s="29">
        <f>4032710+950000+400000</f>
        <v>5382710</v>
      </c>
      <c r="H180" s="29">
        <v>5382710</v>
      </c>
      <c r="I180" s="115">
        <v>5003471.2699999996</v>
      </c>
      <c r="J180" s="115">
        <f t="shared" si="77"/>
        <v>92.954501914463151</v>
      </c>
    </row>
    <row r="181" spans="1:10">
      <c r="A181" s="182">
        <v>169</v>
      </c>
      <c r="B181" s="122" t="s">
        <v>38</v>
      </c>
      <c r="C181" s="40" t="s">
        <v>151</v>
      </c>
      <c r="D181" s="40" t="s">
        <v>93</v>
      </c>
      <c r="E181" s="112">
        <v>1190000000</v>
      </c>
      <c r="F181" s="73"/>
      <c r="G181" s="29">
        <f t="shared" ref="G181:I181" si="99">G182</f>
        <v>984100</v>
      </c>
      <c r="H181" s="29">
        <f t="shared" si="99"/>
        <v>984100</v>
      </c>
      <c r="I181" s="29">
        <f t="shared" si="99"/>
        <v>966967.85</v>
      </c>
      <c r="J181" s="115">
        <f t="shared" si="77"/>
        <v>98.259104765775831</v>
      </c>
    </row>
    <row r="182" spans="1:10" ht="30">
      <c r="A182" s="182">
        <v>170</v>
      </c>
      <c r="B182" s="171" t="s">
        <v>263</v>
      </c>
      <c r="C182" s="40" t="s">
        <v>151</v>
      </c>
      <c r="D182" s="40" t="s">
        <v>93</v>
      </c>
      <c r="E182" s="112">
        <v>1190074670</v>
      </c>
      <c r="F182" s="73"/>
      <c r="G182" s="29">
        <f t="shared" ref="G182:H182" si="100">G183+G185</f>
        <v>984100</v>
      </c>
      <c r="H182" s="29">
        <f t="shared" si="100"/>
        <v>984100</v>
      </c>
      <c r="I182" s="29">
        <f t="shared" ref="I182" si="101">I183+I185</f>
        <v>966967.85</v>
      </c>
      <c r="J182" s="115">
        <f t="shared" si="77"/>
        <v>98.259104765775831</v>
      </c>
    </row>
    <row r="183" spans="1:10" ht="45">
      <c r="A183" s="182">
        <v>171</v>
      </c>
      <c r="B183" s="176" t="s">
        <v>14</v>
      </c>
      <c r="C183" s="40" t="s">
        <v>151</v>
      </c>
      <c r="D183" s="40" t="s">
        <v>93</v>
      </c>
      <c r="E183" s="112">
        <v>1190074670</v>
      </c>
      <c r="F183" s="73">
        <v>100</v>
      </c>
      <c r="G183" s="29">
        <f t="shared" ref="G183:I183" si="102">G184</f>
        <v>929966.23</v>
      </c>
      <c r="H183" s="29">
        <f t="shared" si="102"/>
        <v>929966.23</v>
      </c>
      <c r="I183" s="29">
        <f t="shared" si="102"/>
        <v>929307.85</v>
      </c>
      <c r="J183" s="115">
        <f t="shared" si="77"/>
        <v>99.9292038808764</v>
      </c>
    </row>
    <row r="184" spans="1:10">
      <c r="A184" s="182">
        <v>172</v>
      </c>
      <c r="B184" s="176" t="s">
        <v>15</v>
      </c>
      <c r="C184" s="40" t="s">
        <v>151</v>
      </c>
      <c r="D184" s="40" t="s">
        <v>93</v>
      </c>
      <c r="E184" s="112">
        <v>1190074670</v>
      </c>
      <c r="F184" s="73">
        <v>120</v>
      </c>
      <c r="G184" s="29">
        <f>901566.23+28400</f>
        <v>929966.23</v>
      </c>
      <c r="H184" s="29">
        <v>929966.23</v>
      </c>
      <c r="I184" s="115">
        <v>929307.85</v>
      </c>
      <c r="J184" s="115">
        <f t="shared" si="77"/>
        <v>99.9292038808764</v>
      </c>
    </row>
    <row r="185" spans="1:10">
      <c r="A185" s="182">
        <v>173</v>
      </c>
      <c r="B185" s="176" t="s">
        <v>19</v>
      </c>
      <c r="C185" s="40" t="s">
        <v>151</v>
      </c>
      <c r="D185" s="40" t="s">
        <v>93</v>
      </c>
      <c r="E185" s="112">
        <v>1190074670</v>
      </c>
      <c r="F185" s="73">
        <v>200</v>
      </c>
      <c r="G185" s="29">
        <f t="shared" ref="G185:I185" si="103">G186</f>
        <v>54133.77</v>
      </c>
      <c r="H185" s="29">
        <f t="shared" si="103"/>
        <v>54133.77</v>
      </c>
      <c r="I185" s="29">
        <f t="shared" si="103"/>
        <v>37660</v>
      </c>
      <c r="J185" s="115">
        <f t="shared" si="77"/>
        <v>69.5684043435364</v>
      </c>
    </row>
    <row r="186" spans="1:10">
      <c r="A186" s="182">
        <v>174</v>
      </c>
      <c r="B186" s="176" t="s">
        <v>20</v>
      </c>
      <c r="C186" s="40" t="s">
        <v>151</v>
      </c>
      <c r="D186" s="40" t="s">
        <v>93</v>
      </c>
      <c r="E186" s="112">
        <v>1190074670</v>
      </c>
      <c r="F186" s="73">
        <v>240</v>
      </c>
      <c r="G186" s="29">
        <v>54133.77</v>
      </c>
      <c r="H186" s="29">
        <v>54133.77</v>
      </c>
      <c r="I186" s="115">
        <v>37660</v>
      </c>
      <c r="J186" s="115">
        <f t="shared" si="77"/>
        <v>69.5684043435364</v>
      </c>
    </row>
    <row r="187" spans="1:10">
      <c r="A187" s="182">
        <v>175</v>
      </c>
      <c r="B187" s="176" t="s">
        <v>97</v>
      </c>
      <c r="C187" s="40" t="s">
        <v>151</v>
      </c>
      <c r="D187" s="40" t="s">
        <v>98</v>
      </c>
      <c r="E187" s="112"/>
      <c r="F187" s="73"/>
      <c r="G187" s="29">
        <f t="shared" ref="G187:G188" si="104">G188</f>
        <v>300000</v>
      </c>
      <c r="H187" s="29">
        <f t="shared" ref="H187:I188" si="105">H188</f>
        <v>300000</v>
      </c>
      <c r="I187" s="29">
        <f t="shared" si="105"/>
        <v>30000</v>
      </c>
      <c r="J187" s="115">
        <f t="shared" si="77"/>
        <v>10</v>
      </c>
    </row>
    <row r="188" spans="1:10" ht="38.25" customHeight="1">
      <c r="A188" s="182">
        <v>176</v>
      </c>
      <c r="B188" s="176" t="s">
        <v>436</v>
      </c>
      <c r="C188" s="40" t="s">
        <v>151</v>
      </c>
      <c r="D188" s="40" t="s">
        <v>378</v>
      </c>
      <c r="E188" s="112"/>
      <c r="F188" s="73"/>
      <c r="G188" s="29">
        <f t="shared" si="104"/>
        <v>300000</v>
      </c>
      <c r="H188" s="29">
        <f t="shared" si="105"/>
        <v>300000</v>
      </c>
      <c r="I188" s="29">
        <f t="shared" si="105"/>
        <v>30000</v>
      </c>
      <c r="J188" s="115">
        <f t="shared" si="77"/>
        <v>10</v>
      </c>
    </row>
    <row r="189" spans="1:10" ht="31.5" customHeight="1">
      <c r="A189" s="182">
        <v>177</v>
      </c>
      <c r="B189" s="176" t="s">
        <v>146</v>
      </c>
      <c r="C189" s="40" t="s">
        <v>151</v>
      </c>
      <c r="D189" s="40" t="s">
        <v>378</v>
      </c>
      <c r="E189" s="34" t="s">
        <v>185</v>
      </c>
      <c r="F189" s="73"/>
      <c r="G189" s="29">
        <f>G190+G194</f>
        <v>300000</v>
      </c>
      <c r="H189" s="29">
        <f>H190+H194</f>
        <v>300000</v>
      </c>
      <c r="I189" s="29">
        <f>I190+I194</f>
        <v>30000</v>
      </c>
      <c r="J189" s="115">
        <f t="shared" si="77"/>
        <v>10</v>
      </c>
    </row>
    <row r="190" spans="1:10" ht="31.5" customHeight="1">
      <c r="A190" s="182">
        <v>178</v>
      </c>
      <c r="B190" s="173" t="s">
        <v>292</v>
      </c>
      <c r="C190" s="40" t="s">
        <v>151</v>
      </c>
      <c r="D190" s="40" t="s">
        <v>378</v>
      </c>
      <c r="E190" s="34" t="s">
        <v>186</v>
      </c>
      <c r="F190" s="73"/>
      <c r="G190" s="29">
        <f>G191</f>
        <v>190000</v>
      </c>
      <c r="H190" s="29">
        <f t="shared" ref="H190:I190" si="106">H191</f>
        <v>190000</v>
      </c>
      <c r="I190" s="29">
        <f t="shared" si="106"/>
        <v>0</v>
      </c>
      <c r="J190" s="115">
        <f t="shared" si="77"/>
        <v>0</v>
      </c>
    </row>
    <row r="191" spans="1:10" ht="31.5" customHeight="1">
      <c r="A191" s="182">
        <v>179</v>
      </c>
      <c r="B191" s="111" t="s">
        <v>445</v>
      </c>
      <c r="C191" s="40" t="s">
        <v>151</v>
      </c>
      <c r="D191" s="40" t="s">
        <v>378</v>
      </c>
      <c r="E191" s="34" t="s">
        <v>443</v>
      </c>
      <c r="F191" s="73"/>
      <c r="G191" s="29">
        <f t="shared" ref="G191:G192" si="107">G192</f>
        <v>190000</v>
      </c>
      <c r="H191" s="29">
        <f t="shared" ref="H191:I192" si="108">H192</f>
        <v>190000</v>
      </c>
      <c r="I191" s="29">
        <f t="shared" si="108"/>
        <v>0</v>
      </c>
      <c r="J191" s="115">
        <f t="shared" si="77"/>
        <v>0</v>
      </c>
    </row>
    <row r="192" spans="1:10" ht="23.25" customHeight="1">
      <c r="A192" s="182">
        <v>180</v>
      </c>
      <c r="B192" s="111" t="s">
        <v>19</v>
      </c>
      <c r="C192" s="40" t="s">
        <v>151</v>
      </c>
      <c r="D192" s="40" t="s">
        <v>378</v>
      </c>
      <c r="E192" s="34" t="s">
        <v>443</v>
      </c>
      <c r="F192" s="73">
        <v>200</v>
      </c>
      <c r="G192" s="29">
        <f t="shared" si="107"/>
        <v>190000</v>
      </c>
      <c r="H192" s="29">
        <f t="shared" si="108"/>
        <v>190000</v>
      </c>
      <c r="I192" s="29">
        <f t="shared" si="108"/>
        <v>0</v>
      </c>
      <c r="J192" s="115">
        <f t="shared" si="77"/>
        <v>0</v>
      </c>
    </row>
    <row r="193" spans="1:10" ht="23.25" customHeight="1">
      <c r="A193" s="182">
        <v>181</v>
      </c>
      <c r="B193" s="176" t="s">
        <v>20</v>
      </c>
      <c r="C193" s="40" t="s">
        <v>151</v>
      </c>
      <c r="D193" s="40" t="s">
        <v>378</v>
      </c>
      <c r="E193" s="34" t="s">
        <v>443</v>
      </c>
      <c r="F193" s="73">
        <v>240</v>
      </c>
      <c r="G193" s="29">
        <v>190000</v>
      </c>
      <c r="H193" s="29">
        <v>190000</v>
      </c>
      <c r="I193" s="115">
        <v>0</v>
      </c>
      <c r="J193" s="115">
        <f t="shared" si="77"/>
        <v>0</v>
      </c>
    </row>
    <row r="194" spans="1:10" ht="33.75" customHeight="1">
      <c r="A194" s="182">
        <v>182</v>
      </c>
      <c r="B194" s="176" t="s">
        <v>401</v>
      </c>
      <c r="C194" s="40" t="s">
        <v>151</v>
      </c>
      <c r="D194" s="40" t="s">
        <v>378</v>
      </c>
      <c r="E194" s="34" t="s">
        <v>437</v>
      </c>
      <c r="F194" s="73"/>
      <c r="G194" s="29">
        <f t="shared" ref="G194:H194" si="109">G195+G198+G201</f>
        <v>110000</v>
      </c>
      <c r="H194" s="29">
        <f t="shared" si="109"/>
        <v>110000</v>
      </c>
      <c r="I194" s="29">
        <f t="shared" ref="I194" si="110">I195+I198+I201</f>
        <v>30000</v>
      </c>
      <c r="J194" s="115">
        <f t="shared" si="77"/>
        <v>27.27272727272727</v>
      </c>
    </row>
    <row r="195" spans="1:10" ht="33.75" customHeight="1">
      <c r="A195" s="182">
        <v>183</v>
      </c>
      <c r="B195" s="176" t="s">
        <v>438</v>
      </c>
      <c r="C195" s="40" t="s">
        <v>151</v>
      </c>
      <c r="D195" s="40" t="s">
        <v>378</v>
      </c>
      <c r="E195" s="34" t="s">
        <v>439</v>
      </c>
      <c r="F195" s="73"/>
      <c r="G195" s="29">
        <f t="shared" ref="G195:I196" si="111">G196</f>
        <v>50000</v>
      </c>
      <c r="H195" s="29">
        <f t="shared" si="111"/>
        <v>50000</v>
      </c>
      <c r="I195" s="29">
        <f t="shared" si="111"/>
        <v>0</v>
      </c>
      <c r="J195" s="115">
        <f t="shared" si="77"/>
        <v>0</v>
      </c>
    </row>
    <row r="196" spans="1:10" ht="20.25" customHeight="1">
      <c r="A196" s="182">
        <v>184</v>
      </c>
      <c r="B196" s="176" t="s">
        <v>19</v>
      </c>
      <c r="C196" s="40" t="s">
        <v>151</v>
      </c>
      <c r="D196" s="40" t="s">
        <v>378</v>
      </c>
      <c r="E196" s="34" t="s">
        <v>439</v>
      </c>
      <c r="F196" s="73">
        <v>200</v>
      </c>
      <c r="G196" s="29">
        <f t="shared" si="111"/>
        <v>50000</v>
      </c>
      <c r="H196" s="29">
        <f t="shared" si="111"/>
        <v>50000</v>
      </c>
      <c r="I196" s="29">
        <f t="shared" si="111"/>
        <v>0</v>
      </c>
      <c r="J196" s="115">
        <f t="shared" si="77"/>
        <v>0</v>
      </c>
    </row>
    <row r="197" spans="1:10" ht="21" customHeight="1">
      <c r="A197" s="182">
        <v>185</v>
      </c>
      <c r="B197" s="176" t="s">
        <v>20</v>
      </c>
      <c r="C197" s="40" t="s">
        <v>151</v>
      </c>
      <c r="D197" s="40" t="s">
        <v>378</v>
      </c>
      <c r="E197" s="34" t="s">
        <v>439</v>
      </c>
      <c r="F197" s="73">
        <v>240</v>
      </c>
      <c r="G197" s="29">
        <v>50000</v>
      </c>
      <c r="H197" s="29">
        <v>50000</v>
      </c>
      <c r="I197" s="115">
        <v>0</v>
      </c>
      <c r="J197" s="115">
        <f t="shared" si="77"/>
        <v>0</v>
      </c>
    </row>
    <row r="198" spans="1:10" ht="30.75" customHeight="1">
      <c r="A198" s="182">
        <v>186</v>
      </c>
      <c r="B198" s="176" t="s">
        <v>440</v>
      </c>
      <c r="C198" s="40" t="s">
        <v>151</v>
      </c>
      <c r="D198" s="40" t="s">
        <v>378</v>
      </c>
      <c r="E198" s="34" t="s">
        <v>442</v>
      </c>
      <c r="F198" s="73"/>
      <c r="G198" s="29">
        <f t="shared" ref="G198:I199" si="112">G199</f>
        <v>30000</v>
      </c>
      <c r="H198" s="29">
        <f t="shared" si="112"/>
        <v>30000</v>
      </c>
      <c r="I198" s="29">
        <f t="shared" si="112"/>
        <v>0</v>
      </c>
      <c r="J198" s="115">
        <f t="shared" si="77"/>
        <v>0</v>
      </c>
    </row>
    <row r="199" spans="1:10" ht="21" customHeight="1">
      <c r="A199" s="182">
        <v>187</v>
      </c>
      <c r="B199" s="176" t="s">
        <v>19</v>
      </c>
      <c r="C199" s="40" t="s">
        <v>151</v>
      </c>
      <c r="D199" s="40" t="s">
        <v>378</v>
      </c>
      <c r="E199" s="34" t="s">
        <v>442</v>
      </c>
      <c r="F199" s="73">
        <v>200</v>
      </c>
      <c r="G199" s="29">
        <f t="shared" si="112"/>
        <v>30000</v>
      </c>
      <c r="H199" s="29">
        <f t="shared" si="112"/>
        <v>30000</v>
      </c>
      <c r="I199" s="29">
        <f t="shared" si="112"/>
        <v>0</v>
      </c>
      <c r="J199" s="115">
        <f t="shared" si="77"/>
        <v>0</v>
      </c>
    </row>
    <row r="200" spans="1:10" ht="18" customHeight="1">
      <c r="A200" s="182">
        <v>188</v>
      </c>
      <c r="B200" s="176" t="s">
        <v>20</v>
      </c>
      <c r="C200" s="40" t="s">
        <v>151</v>
      </c>
      <c r="D200" s="40" t="s">
        <v>378</v>
      </c>
      <c r="E200" s="34" t="s">
        <v>442</v>
      </c>
      <c r="F200" s="73">
        <v>240</v>
      </c>
      <c r="G200" s="29">
        <v>30000</v>
      </c>
      <c r="H200" s="29">
        <v>30000</v>
      </c>
      <c r="I200" s="115">
        <v>0</v>
      </c>
      <c r="J200" s="115">
        <f t="shared" si="77"/>
        <v>0</v>
      </c>
    </row>
    <row r="201" spans="1:10" ht="21" customHeight="1">
      <c r="A201" s="182">
        <v>189</v>
      </c>
      <c r="B201" s="176" t="s">
        <v>441</v>
      </c>
      <c r="C201" s="40" t="s">
        <v>151</v>
      </c>
      <c r="D201" s="40" t="s">
        <v>378</v>
      </c>
      <c r="E201" s="34" t="s">
        <v>444</v>
      </c>
      <c r="F201" s="73"/>
      <c r="G201" s="29">
        <f t="shared" ref="G201:I202" si="113">G202</f>
        <v>30000</v>
      </c>
      <c r="H201" s="29">
        <f t="shared" si="113"/>
        <v>30000</v>
      </c>
      <c r="I201" s="29">
        <f t="shared" si="113"/>
        <v>30000</v>
      </c>
      <c r="J201" s="115">
        <f t="shared" si="77"/>
        <v>100</v>
      </c>
    </row>
    <row r="202" spans="1:10" ht="18" customHeight="1">
      <c r="A202" s="182">
        <v>190</v>
      </c>
      <c r="B202" s="176" t="s">
        <v>19</v>
      </c>
      <c r="C202" s="40" t="s">
        <v>151</v>
      </c>
      <c r="D202" s="40" t="s">
        <v>378</v>
      </c>
      <c r="E202" s="34" t="s">
        <v>444</v>
      </c>
      <c r="F202" s="73">
        <v>200</v>
      </c>
      <c r="G202" s="29">
        <f t="shared" si="113"/>
        <v>30000</v>
      </c>
      <c r="H202" s="29">
        <f t="shared" si="113"/>
        <v>30000</v>
      </c>
      <c r="I202" s="29">
        <f t="shared" si="113"/>
        <v>30000</v>
      </c>
      <c r="J202" s="115">
        <f t="shared" si="77"/>
        <v>100</v>
      </c>
    </row>
    <row r="203" spans="1:10" ht="22.5" customHeight="1">
      <c r="A203" s="182">
        <v>191</v>
      </c>
      <c r="B203" s="176" t="s">
        <v>20</v>
      </c>
      <c r="C203" s="40" t="s">
        <v>151</v>
      </c>
      <c r="D203" s="40" t="s">
        <v>378</v>
      </c>
      <c r="E203" s="34" t="s">
        <v>444</v>
      </c>
      <c r="F203" s="73">
        <v>240</v>
      </c>
      <c r="G203" s="29">
        <v>30000</v>
      </c>
      <c r="H203" s="29">
        <v>30000</v>
      </c>
      <c r="I203" s="115">
        <v>30000</v>
      </c>
      <c r="J203" s="115">
        <f t="shared" si="77"/>
        <v>100</v>
      </c>
    </row>
    <row r="204" spans="1:10">
      <c r="A204" s="182">
        <v>192</v>
      </c>
      <c r="B204" s="51" t="s">
        <v>99</v>
      </c>
      <c r="C204" s="40" t="s">
        <v>151</v>
      </c>
      <c r="D204" s="40" t="s">
        <v>100</v>
      </c>
      <c r="E204" s="112"/>
      <c r="F204" s="73"/>
      <c r="G204" s="29">
        <f>G205+G213+G230+G224</f>
        <v>37145746.780000001</v>
      </c>
      <c r="H204" s="29">
        <f>H205+H213+H230+H224</f>
        <v>37145746.780000001</v>
      </c>
      <c r="I204" s="29">
        <f>I205+I213+I230+I224</f>
        <v>33198139.459999997</v>
      </c>
      <c r="J204" s="115">
        <f t="shared" si="77"/>
        <v>89.372653231660223</v>
      </c>
    </row>
    <row r="205" spans="1:10">
      <c r="A205" s="182">
        <v>193</v>
      </c>
      <c r="B205" s="122" t="s">
        <v>40</v>
      </c>
      <c r="C205" s="40" t="s">
        <v>151</v>
      </c>
      <c r="D205" s="40" t="s">
        <v>103</v>
      </c>
      <c r="E205" s="112"/>
      <c r="F205" s="73"/>
      <c r="G205" s="29">
        <f t="shared" ref="G205:I207" si="114">G206</f>
        <v>1029000</v>
      </c>
      <c r="H205" s="29">
        <f t="shared" si="114"/>
        <v>1029000</v>
      </c>
      <c r="I205" s="29">
        <f t="shared" si="114"/>
        <v>794126.02</v>
      </c>
      <c r="J205" s="115">
        <f t="shared" si="77"/>
        <v>77.174540330417884</v>
      </c>
    </row>
    <row r="206" spans="1:10" ht="30">
      <c r="A206" s="182">
        <v>194</v>
      </c>
      <c r="B206" s="31" t="s">
        <v>375</v>
      </c>
      <c r="C206" s="40" t="s">
        <v>151</v>
      </c>
      <c r="D206" s="40" t="s">
        <v>103</v>
      </c>
      <c r="E206" s="34" t="s">
        <v>178</v>
      </c>
      <c r="F206" s="73"/>
      <c r="G206" s="29">
        <f t="shared" si="114"/>
        <v>1029000</v>
      </c>
      <c r="H206" s="29">
        <f t="shared" si="114"/>
        <v>1029000</v>
      </c>
      <c r="I206" s="29">
        <f t="shared" si="114"/>
        <v>794126.02</v>
      </c>
      <c r="J206" s="115">
        <f t="shared" si="77"/>
        <v>77.174540330417884</v>
      </c>
    </row>
    <row r="207" spans="1:10">
      <c r="A207" s="182">
        <v>195</v>
      </c>
      <c r="B207" s="31" t="s">
        <v>264</v>
      </c>
      <c r="C207" s="40" t="s">
        <v>151</v>
      </c>
      <c r="D207" s="40" t="s">
        <v>103</v>
      </c>
      <c r="E207" s="34" t="s">
        <v>483</v>
      </c>
      <c r="F207" s="73"/>
      <c r="G207" s="29">
        <f t="shared" si="114"/>
        <v>1029000</v>
      </c>
      <c r="H207" s="29">
        <f t="shared" si="114"/>
        <v>1029000</v>
      </c>
      <c r="I207" s="29">
        <f t="shared" si="114"/>
        <v>794126.02</v>
      </c>
      <c r="J207" s="115">
        <f t="shared" ref="J207:J270" si="115">I207/H207*100</f>
        <v>77.174540330417884</v>
      </c>
    </row>
    <row r="208" spans="1:10" ht="30">
      <c r="A208" s="182">
        <v>196</v>
      </c>
      <c r="B208" s="60" t="s">
        <v>41</v>
      </c>
      <c r="C208" s="40" t="s">
        <v>151</v>
      </c>
      <c r="D208" s="40" t="s">
        <v>103</v>
      </c>
      <c r="E208" s="34" t="s">
        <v>484</v>
      </c>
      <c r="F208" s="73"/>
      <c r="G208" s="29">
        <f t="shared" ref="G208:H208" si="116">G209+G211</f>
        <v>1029000</v>
      </c>
      <c r="H208" s="29">
        <f t="shared" si="116"/>
        <v>1029000</v>
      </c>
      <c r="I208" s="29">
        <f t="shared" ref="I208" si="117">I209+I211</f>
        <v>794126.02</v>
      </c>
      <c r="J208" s="115">
        <f t="shared" si="115"/>
        <v>77.174540330417884</v>
      </c>
    </row>
    <row r="209" spans="1:10" ht="45">
      <c r="A209" s="182">
        <v>197</v>
      </c>
      <c r="B209" s="176" t="s">
        <v>14</v>
      </c>
      <c r="C209" s="40" t="s">
        <v>151</v>
      </c>
      <c r="D209" s="40" t="s">
        <v>103</v>
      </c>
      <c r="E209" s="34" t="s">
        <v>484</v>
      </c>
      <c r="F209" s="73">
        <v>100</v>
      </c>
      <c r="G209" s="29">
        <f t="shared" ref="G209:I209" si="118">G210</f>
        <v>939966.23</v>
      </c>
      <c r="H209" s="29">
        <f t="shared" si="118"/>
        <v>939966.23</v>
      </c>
      <c r="I209" s="29">
        <f t="shared" si="118"/>
        <v>764126.02</v>
      </c>
      <c r="J209" s="115">
        <f t="shared" si="115"/>
        <v>81.292922619145585</v>
      </c>
    </row>
    <row r="210" spans="1:10">
      <c r="A210" s="182">
        <v>198</v>
      </c>
      <c r="B210" s="176" t="s">
        <v>15</v>
      </c>
      <c r="C210" s="40" t="s">
        <v>151</v>
      </c>
      <c r="D210" s="40" t="s">
        <v>103</v>
      </c>
      <c r="E210" s="34" t="s">
        <v>484</v>
      </c>
      <c r="F210" s="73">
        <v>120</v>
      </c>
      <c r="G210" s="29">
        <f>911566.23+28400</f>
        <v>939966.23</v>
      </c>
      <c r="H210" s="29">
        <v>939966.23</v>
      </c>
      <c r="I210" s="29">
        <v>764126.02</v>
      </c>
      <c r="J210" s="115">
        <f t="shared" si="115"/>
        <v>81.292922619145585</v>
      </c>
    </row>
    <row r="211" spans="1:10">
      <c r="A211" s="182">
        <v>199</v>
      </c>
      <c r="B211" s="176" t="s">
        <v>19</v>
      </c>
      <c r="C211" s="40" t="s">
        <v>151</v>
      </c>
      <c r="D211" s="40" t="s">
        <v>103</v>
      </c>
      <c r="E211" s="34" t="s">
        <v>484</v>
      </c>
      <c r="F211" s="73">
        <v>200</v>
      </c>
      <c r="G211" s="29">
        <f t="shared" ref="G211:I211" si="119">G212</f>
        <v>89033.77</v>
      </c>
      <c r="H211" s="29">
        <f t="shared" si="119"/>
        <v>89033.77</v>
      </c>
      <c r="I211" s="29">
        <f t="shared" si="119"/>
        <v>30000</v>
      </c>
      <c r="J211" s="115">
        <f t="shared" si="115"/>
        <v>33.695079967971701</v>
      </c>
    </row>
    <row r="212" spans="1:10">
      <c r="A212" s="182">
        <v>200</v>
      </c>
      <c r="B212" s="176" t="s">
        <v>20</v>
      </c>
      <c r="C212" s="40" t="s">
        <v>151</v>
      </c>
      <c r="D212" s="40" t="s">
        <v>103</v>
      </c>
      <c r="E212" s="34" t="s">
        <v>484</v>
      </c>
      <c r="F212" s="73">
        <v>240</v>
      </c>
      <c r="G212" s="29">
        <v>89033.77</v>
      </c>
      <c r="H212" s="29">
        <v>89033.77</v>
      </c>
      <c r="I212" s="115">
        <v>30000</v>
      </c>
      <c r="J212" s="115">
        <f t="shared" si="115"/>
        <v>33.695079967971701</v>
      </c>
    </row>
    <row r="213" spans="1:10">
      <c r="A213" s="182">
        <v>201</v>
      </c>
      <c r="B213" s="51" t="s">
        <v>39</v>
      </c>
      <c r="C213" s="40" t="s">
        <v>151</v>
      </c>
      <c r="D213" s="40" t="s">
        <v>104</v>
      </c>
      <c r="E213" s="112"/>
      <c r="F213" s="73"/>
      <c r="G213" s="29">
        <f t="shared" ref="G213:I214" si="120">G214</f>
        <v>30229611.780000001</v>
      </c>
      <c r="H213" s="29">
        <f t="shared" si="120"/>
        <v>30229611.780000001</v>
      </c>
      <c r="I213" s="29">
        <f t="shared" si="120"/>
        <v>29442174.949999999</v>
      </c>
      <c r="J213" s="115">
        <f t="shared" si="115"/>
        <v>97.39514739477741</v>
      </c>
    </row>
    <row r="214" spans="1:10">
      <c r="A214" s="182">
        <v>202</v>
      </c>
      <c r="B214" s="122" t="s">
        <v>42</v>
      </c>
      <c r="C214" s="40" t="s">
        <v>151</v>
      </c>
      <c r="D214" s="40" t="s">
        <v>104</v>
      </c>
      <c r="E214" s="112">
        <v>1000000000</v>
      </c>
      <c r="F214" s="73"/>
      <c r="G214" s="29">
        <f t="shared" si="120"/>
        <v>30229611.780000001</v>
      </c>
      <c r="H214" s="29">
        <f t="shared" si="120"/>
        <v>30229611.780000001</v>
      </c>
      <c r="I214" s="29">
        <f t="shared" si="120"/>
        <v>29442174.949999999</v>
      </c>
      <c r="J214" s="115">
        <f t="shared" si="115"/>
        <v>97.39514739477741</v>
      </c>
    </row>
    <row r="215" spans="1:10">
      <c r="A215" s="182">
        <v>203</v>
      </c>
      <c r="B215" s="122" t="s">
        <v>310</v>
      </c>
      <c r="C215" s="40" t="s">
        <v>151</v>
      </c>
      <c r="D215" s="40" t="s">
        <v>104</v>
      </c>
      <c r="E215" s="112">
        <v>1010000000</v>
      </c>
      <c r="F215" s="73"/>
      <c r="G215" s="29">
        <f>G216+G221</f>
        <v>30229611.780000001</v>
      </c>
      <c r="H215" s="29">
        <f>H216+H221</f>
        <v>30229611.780000001</v>
      </c>
      <c r="I215" s="29">
        <f>I216+I221</f>
        <v>29442174.949999999</v>
      </c>
      <c r="J215" s="115">
        <f t="shared" si="115"/>
        <v>97.39514739477741</v>
      </c>
    </row>
    <row r="216" spans="1:10" ht="75">
      <c r="A216" s="182">
        <v>204</v>
      </c>
      <c r="B216" s="171" t="s">
        <v>43</v>
      </c>
      <c r="C216" s="40" t="s">
        <v>151</v>
      </c>
      <c r="D216" s="40" t="s">
        <v>104</v>
      </c>
      <c r="E216" s="112">
        <v>1010023580</v>
      </c>
      <c r="F216" s="73"/>
      <c r="G216" s="29">
        <f>G217+G219</f>
        <v>24102265.98</v>
      </c>
      <c r="H216" s="29">
        <f t="shared" ref="H216:I216" si="121">H217+H219</f>
        <v>24102265.98</v>
      </c>
      <c r="I216" s="29">
        <f t="shared" si="121"/>
        <v>23630219.75</v>
      </c>
      <c r="J216" s="115">
        <f t="shared" si="115"/>
        <v>98.041486097648644</v>
      </c>
    </row>
    <row r="217" spans="1:10">
      <c r="A217" s="182">
        <v>205</v>
      </c>
      <c r="B217" s="176" t="s">
        <v>31</v>
      </c>
      <c r="C217" s="40" t="s">
        <v>151</v>
      </c>
      <c r="D217" s="40" t="s">
        <v>104</v>
      </c>
      <c r="E217" s="112">
        <v>1010023580</v>
      </c>
      <c r="F217" s="73">
        <v>800</v>
      </c>
      <c r="G217" s="29">
        <f t="shared" ref="G217:I217" si="122">G218</f>
        <v>24102243.920000002</v>
      </c>
      <c r="H217" s="29">
        <f t="shared" si="122"/>
        <v>24102243.920000002</v>
      </c>
      <c r="I217" s="29">
        <f t="shared" si="122"/>
        <v>23630197.690000001</v>
      </c>
      <c r="J217" s="115">
        <f t="shared" si="115"/>
        <v>98.041484305084566</v>
      </c>
    </row>
    <row r="218" spans="1:10" ht="30">
      <c r="A218" s="182">
        <v>206</v>
      </c>
      <c r="B218" s="176" t="s">
        <v>44</v>
      </c>
      <c r="C218" s="40" t="s">
        <v>151</v>
      </c>
      <c r="D218" s="40" t="s">
        <v>104</v>
      </c>
      <c r="E218" s="112">
        <v>1010023580</v>
      </c>
      <c r="F218" s="73">
        <v>810</v>
      </c>
      <c r="G218" s="29">
        <f>24312360-22.06-401796.8+127796.8+63905.98</f>
        <v>24102243.920000002</v>
      </c>
      <c r="H218" s="29">
        <v>24102243.920000002</v>
      </c>
      <c r="I218" s="115">
        <v>23630197.690000001</v>
      </c>
      <c r="J218" s="115">
        <f t="shared" si="115"/>
        <v>98.041484305084566</v>
      </c>
    </row>
    <row r="219" spans="1:10">
      <c r="A219" s="182">
        <v>207</v>
      </c>
      <c r="B219" s="176" t="s">
        <v>528</v>
      </c>
      <c r="C219" s="40" t="s">
        <v>151</v>
      </c>
      <c r="D219" s="40" t="s">
        <v>104</v>
      </c>
      <c r="E219" s="112">
        <v>1010023580</v>
      </c>
      <c r="F219" s="73">
        <v>200</v>
      </c>
      <c r="G219" s="29">
        <f>G220</f>
        <v>22.06</v>
      </c>
      <c r="H219" s="29">
        <f t="shared" ref="H219:I219" si="123">H220</f>
        <v>22.06</v>
      </c>
      <c r="I219" s="29">
        <f t="shared" si="123"/>
        <v>22.06</v>
      </c>
      <c r="J219" s="115">
        <f t="shared" si="115"/>
        <v>100</v>
      </c>
    </row>
    <row r="220" spans="1:10" ht="21" customHeight="1">
      <c r="A220" s="182">
        <v>208</v>
      </c>
      <c r="B220" s="176" t="s">
        <v>537</v>
      </c>
      <c r="C220" s="40" t="s">
        <v>151</v>
      </c>
      <c r="D220" s="40" t="s">
        <v>104</v>
      </c>
      <c r="E220" s="112">
        <v>1010023580</v>
      </c>
      <c r="F220" s="73">
        <v>240</v>
      </c>
      <c r="G220" s="29">
        <v>22.06</v>
      </c>
      <c r="H220" s="29">
        <v>22.06</v>
      </c>
      <c r="I220" s="115">
        <v>22.06</v>
      </c>
      <c r="J220" s="115">
        <f t="shared" si="115"/>
        <v>100</v>
      </c>
    </row>
    <row r="221" spans="1:10" ht="72.75" customHeight="1">
      <c r="A221" s="182">
        <v>209</v>
      </c>
      <c r="B221" s="177" t="s">
        <v>265</v>
      </c>
      <c r="C221" s="40" t="s">
        <v>151</v>
      </c>
      <c r="D221" s="40" t="s">
        <v>104</v>
      </c>
      <c r="E221" s="112">
        <v>1010023590</v>
      </c>
      <c r="F221" s="73"/>
      <c r="G221" s="29">
        <f t="shared" ref="G221:I222" si="124">G222</f>
        <v>6127345.7999999998</v>
      </c>
      <c r="H221" s="29">
        <f t="shared" si="124"/>
        <v>6127345.7999999998</v>
      </c>
      <c r="I221" s="29">
        <f t="shared" si="124"/>
        <v>5811955.2000000002</v>
      </c>
      <c r="J221" s="115">
        <f t="shared" si="115"/>
        <v>94.852737052966731</v>
      </c>
    </row>
    <row r="222" spans="1:10">
      <c r="A222" s="182">
        <v>210</v>
      </c>
      <c r="B222" s="176" t="s">
        <v>31</v>
      </c>
      <c r="C222" s="40" t="s">
        <v>151</v>
      </c>
      <c r="D222" s="40" t="s">
        <v>104</v>
      </c>
      <c r="E222" s="112">
        <v>1010023590</v>
      </c>
      <c r="F222" s="73">
        <v>800</v>
      </c>
      <c r="G222" s="29">
        <f t="shared" si="124"/>
        <v>6127345.7999999998</v>
      </c>
      <c r="H222" s="29">
        <f t="shared" si="124"/>
        <v>6127345.7999999998</v>
      </c>
      <c r="I222" s="29">
        <f t="shared" si="124"/>
        <v>5811955.2000000002</v>
      </c>
      <c r="J222" s="115">
        <f t="shared" si="115"/>
        <v>94.852737052966731</v>
      </c>
    </row>
    <row r="223" spans="1:10" ht="54.75" customHeight="1">
      <c r="A223" s="182">
        <v>211</v>
      </c>
      <c r="B223" s="176" t="s">
        <v>44</v>
      </c>
      <c r="C223" s="40" t="s">
        <v>151</v>
      </c>
      <c r="D223" s="40" t="s">
        <v>104</v>
      </c>
      <c r="E223" s="112">
        <v>1010023590</v>
      </c>
      <c r="F223" s="73">
        <v>810</v>
      </c>
      <c r="G223" s="29">
        <f>5725500+401796.8+49</f>
        <v>6127345.7999999998</v>
      </c>
      <c r="H223" s="29">
        <v>6127345.7999999998</v>
      </c>
      <c r="I223" s="29">
        <v>5811955.2000000002</v>
      </c>
      <c r="J223" s="115">
        <f t="shared" si="115"/>
        <v>94.852737052966731</v>
      </c>
    </row>
    <row r="224" spans="1:10">
      <c r="A224" s="182">
        <v>212</v>
      </c>
      <c r="B224" s="51" t="s">
        <v>45</v>
      </c>
      <c r="C224" s="40" t="s">
        <v>151</v>
      </c>
      <c r="D224" s="40" t="s">
        <v>106</v>
      </c>
      <c r="E224" s="112"/>
      <c r="F224" s="73"/>
      <c r="G224" s="29">
        <f t="shared" ref="G224:I224" si="125">G225</f>
        <v>1011185</v>
      </c>
      <c r="H224" s="29">
        <f t="shared" si="125"/>
        <v>1011185</v>
      </c>
      <c r="I224" s="29">
        <f t="shared" si="125"/>
        <v>933278.49</v>
      </c>
      <c r="J224" s="115">
        <f t="shared" si="115"/>
        <v>92.295523568882061</v>
      </c>
    </row>
    <row r="225" spans="1:13">
      <c r="A225" s="182">
        <v>213</v>
      </c>
      <c r="B225" s="122" t="s">
        <v>42</v>
      </c>
      <c r="C225" s="40" t="s">
        <v>151</v>
      </c>
      <c r="D225" s="40" t="s">
        <v>106</v>
      </c>
      <c r="E225" s="112">
        <v>1000000000</v>
      </c>
      <c r="F225" s="73"/>
      <c r="G225" s="29">
        <f>G227</f>
        <v>1011185</v>
      </c>
      <c r="H225" s="29">
        <f t="shared" ref="H225:I225" si="126">H227</f>
        <v>1011185</v>
      </c>
      <c r="I225" s="29">
        <f t="shared" si="126"/>
        <v>933278.49</v>
      </c>
      <c r="J225" s="115">
        <f t="shared" si="115"/>
        <v>92.295523568882061</v>
      </c>
    </row>
    <row r="226" spans="1:13" s="59" customFormat="1">
      <c r="A226" s="182">
        <v>214</v>
      </c>
      <c r="B226" s="177" t="s">
        <v>252</v>
      </c>
      <c r="C226" s="175" t="s">
        <v>151</v>
      </c>
      <c r="D226" s="175" t="s">
        <v>106</v>
      </c>
      <c r="E226" s="112">
        <v>1040000000</v>
      </c>
      <c r="F226" s="170"/>
      <c r="G226" s="29">
        <f>G227</f>
        <v>1011185</v>
      </c>
      <c r="H226" s="29">
        <f t="shared" ref="H226:I226" si="127">H227</f>
        <v>1011185</v>
      </c>
      <c r="I226" s="29">
        <f t="shared" si="127"/>
        <v>933278.49</v>
      </c>
      <c r="J226" s="115">
        <f t="shared" si="115"/>
        <v>92.295523568882061</v>
      </c>
      <c r="K226" s="118"/>
      <c r="L226" s="118"/>
      <c r="M226" s="130"/>
    </row>
    <row r="227" spans="1:13" s="59" customFormat="1" ht="45">
      <c r="A227" s="182">
        <v>215</v>
      </c>
      <c r="B227" s="177" t="s">
        <v>462</v>
      </c>
      <c r="C227" s="175" t="s">
        <v>151</v>
      </c>
      <c r="D227" s="175" t="s">
        <v>106</v>
      </c>
      <c r="E227" s="112">
        <v>1040082240</v>
      </c>
      <c r="F227" s="170"/>
      <c r="G227" s="29">
        <f t="shared" ref="G227:I228" si="128">G228</f>
        <v>1011185</v>
      </c>
      <c r="H227" s="29">
        <f t="shared" si="128"/>
        <v>1011185</v>
      </c>
      <c r="I227" s="29">
        <f t="shared" si="128"/>
        <v>933278.49</v>
      </c>
      <c r="J227" s="115">
        <f t="shared" si="115"/>
        <v>92.295523568882061</v>
      </c>
      <c r="K227" s="118"/>
      <c r="L227" s="118"/>
      <c r="M227" s="130"/>
    </row>
    <row r="228" spans="1:13" s="59" customFormat="1">
      <c r="A228" s="182">
        <v>216</v>
      </c>
      <c r="B228" s="176" t="s">
        <v>19</v>
      </c>
      <c r="C228" s="175" t="s">
        <v>151</v>
      </c>
      <c r="D228" s="175" t="s">
        <v>106</v>
      </c>
      <c r="E228" s="112">
        <v>1040082240</v>
      </c>
      <c r="F228" s="170">
        <v>200</v>
      </c>
      <c r="G228" s="29">
        <f t="shared" si="128"/>
        <v>1011185</v>
      </c>
      <c r="H228" s="29">
        <f t="shared" si="128"/>
        <v>1011185</v>
      </c>
      <c r="I228" s="29">
        <f t="shared" si="128"/>
        <v>933278.49</v>
      </c>
      <c r="J228" s="115">
        <f t="shared" si="115"/>
        <v>92.295523568882061</v>
      </c>
      <c r="K228" s="118"/>
      <c r="L228" s="118"/>
      <c r="M228" s="130"/>
    </row>
    <row r="229" spans="1:13" s="59" customFormat="1">
      <c r="A229" s="182">
        <v>217</v>
      </c>
      <c r="B229" s="176" t="s">
        <v>20</v>
      </c>
      <c r="C229" s="175" t="s">
        <v>151</v>
      </c>
      <c r="D229" s="175" t="s">
        <v>106</v>
      </c>
      <c r="E229" s="112">
        <v>1040082240</v>
      </c>
      <c r="F229" s="170">
        <v>240</v>
      </c>
      <c r="G229" s="29">
        <f>102985+371610+536590</f>
        <v>1011185</v>
      </c>
      <c r="H229" s="29">
        <v>1011185</v>
      </c>
      <c r="I229" s="115">
        <v>933278.49</v>
      </c>
      <c r="J229" s="115">
        <f t="shared" si="115"/>
        <v>92.295523568882061</v>
      </c>
      <c r="K229" s="118"/>
      <c r="L229" s="118"/>
      <c r="M229" s="130"/>
    </row>
    <row r="230" spans="1:13">
      <c r="A230" s="182">
        <v>218</v>
      </c>
      <c r="B230" s="51" t="s">
        <v>46</v>
      </c>
      <c r="C230" s="40" t="s">
        <v>151</v>
      </c>
      <c r="D230" s="40" t="s">
        <v>107</v>
      </c>
      <c r="E230" s="112"/>
      <c r="F230" s="73"/>
      <c r="G230" s="29">
        <f>G231+G239</f>
        <v>4875950</v>
      </c>
      <c r="H230" s="29">
        <f t="shared" ref="H230:I230" si="129">H231+H239</f>
        <v>4875950</v>
      </c>
      <c r="I230" s="29">
        <f t="shared" si="129"/>
        <v>2028560</v>
      </c>
      <c r="J230" s="115">
        <f t="shared" si="115"/>
        <v>41.603379854182258</v>
      </c>
    </row>
    <row r="231" spans="1:13" ht="30">
      <c r="A231" s="182">
        <v>219</v>
      </c>
      <c r="B231" s="31" t="s">
        <v>375</v>
      </c>
      <c r="C231" s="40" t="s">
        <v>151</v>
      </c>
      <c r="D231" s="40" t="s">
        <v>107</v>
      </c>
      <c r="E231" s="34" t="s">
        <v>178</v>
      </c>
      <c r="F231" s="73"/>
      <c r="G231" s="29">
        <f t="shared" ref="G231:I234" si="130">G232</f>
        <v>1092200</v>
      </c>
      <c r="H231" s="29">
        <f t="shared" si="130"/>
        <v>1092200</v>
      </c>
      <c r="I231" s="29">
        <f t="shared" si="130"/>
        <v>1031650</v>
      </c>
      <c r="J231" s="115">
        <f t="shared" si="115"/>
        <v>94.456143563449913</v>
      </c>
    </row>
    <row r="232" spans="1:13" ht="30">
      <c r="A232" s="182">
        <v>220</v>
      </c>
      <c r="B232" s="173" t="s">
        <v>481</v>
      </c>
      <c r="C232" s="40" t="s">
        <v>151</v>
      </c>
      <c r="D232" s="40" t="s">
        <v>107</v>
      </c>
      <c r="E232" s="34" t="s">
        <v>380</v>
      </c>
      <c r="F232" s="73"/>
      <c r="G232" s="29">
        <f>G233+G236</f>
        <v>1092200</v>
      </c>
      <c r="H232" s="29">
        <f t="shared" ref="H232:I232" si="131">H233+H236</f>
        <v>1092200</v>
      </c>
      <c r="I232" s="29">
        <f t="shared" si="131"/>
        <v>1031650</v>
      </c>
      <c r="J232" s="115">
        <f t="shared" si="115"/>
        <v>94.456143563449913</v>
      </c>
    </row>
    <row r="233" spans="1:13">
      <c r="A233" s="182">
        <v>221</v>
      </c>
      <c r="B233" s="171" t="s">
        <v>47</v>
      </c>
      <c r="C233" s="40" t="s">
        <v>151</v>
      </c>
      <c r="D233" s="40" t="s">
        <v>107</v>
      </c>
      <c r="E233" s="34" t="s">
        <v>384</v>
      </c>
      <c r="F233" s="73"/>
      <c r="G233" s="29">
        <f t="shared" si="130"/>
        <v>777200</v>
      </c>
      <c r="H233" s="29">
        <f t="shared" si="130"/>
        <v>777200</v>
      </c>
      <c r="I233" s="29">
        <f t="shared" si="130"/>
        <v>731650</v>
      </c>
      <c r="J233" s="115">
        <f t="shared" si="115"/>
        <v>94.139217704580545</v>
      </c>
    </row>
    <row r="234" spans="1:13">
      <c r="A234" s="182">
        <v>222</v>
      </c>
      <c r="B234" s="176" t="s">
        <v>31</v>
      </c>
      <c r="C234" s="40" t="s">
        <v>151</v>
      </c>
      <c r="D234" s="40" t="s">
        <v>107</v>
      </c>
      <c r="E234" s="34" t="s">
        <v>384</v>
      </c>
      <c r="F234" s="73">
        <v>800</v>
      </c>
      <c r="G234" s="29">
        <f t="shared" si="130"/>
        <v>777200</v>
      </c>
      <c r="H234" s="29">
        <f t="shared" si="130"/>
        <v>777200</v>
      </c>
      <c r="I234" s="29">
        <f t="shared" si="130"/>
        <v>731650</v>
      </c>
      <c r="J234" s="115">
        <f t="shared" si="115"/>
        <v>94.139217704580545</v>
      </c>
    </row>
    <row r="235" spans="1:13" ht="30">
      <c r="A235" s="182">
        <v>223</v>
      </c>
      <c r="B235" s="176" t="s">
        <v>44</v>
      </c>
      <c r="C235" s="40" t="s">
        <v>151</v>
      </c>
      <c r="D235" s="40" t="s">
        <v>107</v>
      </c>
      <c r="E235" s="34" t="s">
        <v>384</v>
      </c>
      <c r="F235" s="73">
        <v>810</v>
      </c>
      <c r="G235" s="29">
        <f>627200+150000</f>
        <v>777200</v>
      </c>
      <c r="H235" s="29">
        <f>627200+150000</f>
        <v>777200</v>
      </c>
      <c r="I235" s="115">
        <v>731650</v>
      </c>
      <c r="J235" s="115">
        <f t="shared" si="115"/>
        <v>94.139217704580545</v>
      </c>
    </row>
    <row r="236" spans="1:13" ht="45">
      <c r="A236" s="182">
        <v>224</v>
      </c>
      <c r="B236" s="177" t="s">
        <v>475</v>
      </c>
      <c r="C236" s="40" t="s">
        <v>151</v>
      </c>
      <c r="D236" s="40" t="s">
        <v>107</v>
      </c>
      <c r="E236" s="34" t="s">
        <v>471</v>
      </c>
      <c r="F236" s="73"/>
      <c r="G236" s="29">
        <f>G237</f>
        <v>315000</v>
      </c>
      <c r="H236" s="29">
        <f t="shared" ref="H236:I237" si="132">H237</f>
        <v>315000</v>
      </c>
      <c r="I236" s="29">
        <f t="shared" si="132"/>
        <v>300000</v>
      </c>
      <c r="J236" s="115">
        <f t="shared" si="115"/>
        <v>95.238095238095227</v>
      </c>
    </row>
    <row r="237" spans="1:13">
      <c r="A237" s="182">
        <v>225</v>
      </c>
      <c r="B237" s="176" t="s">
        <v>31</v>
      </c>
      <c r="C237" s="40" t="s">
        <v>151</v>
      </c>
      <c r="D237" s="40" t="s">
        <v>107</v>
      </c>
      <c r="E237" s="34" t="s">
        <v>471</v>
      </c>
      <c r="F237" s="73">
        <v>800</v>
      </c>
      <c r="G237" s="29">
        <f>G238</f>
        <v>315000</v>
      </c>
      <c r="H237" s="29">
        <f t="shared" si="132"/>
        <v>315000</v>
      </c>
      <c r="I237" s="29">
        <f t="shared" si="132"/>
        <v>300000</v>
      </c>
      <c r="J237" s="115">
        <f t="shared" si="115"/>
        <v>95.238095238095227</v>
      </c>
    </row>
    <row r="238" spans="1:13" ht="30">
      <c r="A238" s="182">
        <v>226</v>
      </c>
      <c r="B238" s="176" t="s">
        <v>44</v>
      </c>
      <c r="C238" s="40" t="s">
        <v>151</v>
      </c>
      <c r="D238" s="40" t="s">
        <v>107</v>
      </c>
      <c r="E238" s="34" t="s">
        <v>471</v>
      </c>
      <c r="F238" s="73">
        <v>810</v>
      </c>
      <c r="G238" s="29">
        <f>30000+285000</f>
        <v>315000</v>
      </c>
      <c r="H238" s="29">
        <v>315000</v>
      </c>
      <c r="I238" s="115">
        <v>300000</v>
      </c>
      <c r="J238" s="115">
        <f t="shared" si="115"/>
        <v>95.238095238095227</v>
      </c>
    </row>
    <row r="239" spans="1:13" ht="30">
      <c r="A239" s="182">
        <v>227</v>
      </c>
      <c r="B239" s="122" t="s">
        <v>56</v>
      </c>
      <c r="C239" s="40" t="s">
        <v>151</v>
      </c>
      <c r="D239" s="40" t="s">
        <v>107</v>
      </c>
      <c r="E239" s="34" t="s">
        <v>472</v>
      </c>
      <c r="F239" s="73"/>
      <c r="G239" s="29">
        <f>G240</f>
        <v>3783750</v>
      </c>
      <c r="H239" s="29">
        <f t="shared" ref="H239:I242" si="133">H240</f>
        <v>3783750</v>
      </c>
      <c r="I239" s="29">
        <f t="shared" si="133"/>
        <v>996910</v>
      </c>
      <c r="J239" s="115">
        <f t="shared" si="115"/>
        <v>26.347142385199867</v>
      </c>
    </row>
    <row r="240" spans="1:13" ht="48" customHeight="1">
      <c r="A240" s="182">
        <v>228</v>
      </c>
      <c r="B240" s="176" t="s">
        <v>141</v>
      </c>
      <c r="C240" s="40" t="s">
        <v>151</v>
      </c>
      <c r="D240" s="40" t="s">
        <v>107</v>
      </c>
      <c r="E240" s="34" t="s">
        <v>496</v>
      </c>
      <c r="F240" s="73"/>
      <c r="G240" s="29">
        <f>G241+G244</f>
        <v>3783750</v>
      </c>
      <c r="H240" s="29">
        <f t="shared" ref="H240:I240" si="134">H241+H244</f>
        <v>3783750</v>
      </c>
      <c r="I240" s="29">
        <f t="shared" si="134"/>
        <v>996910</v>
      </c>
      <c r="J240" s="115">
        <f t="shared" si="115"/>
        <v>26.347142385199867</v>
      </c>
    </row>
    <row r="241" spans="1:10" ht="48" customHeight="1">
      <c r="A241" s="182">
        <v>229</v>
      </c>
      <c r="B241" s="177" t="s">
        <v>497</v>
      </c>
      <c r="C241" s="40" t="s">
        <v>151</v>
      </c>
      <c r="D241" s="40" t="s">
        <v>107</v>
      </c>
      <c r="E241" s="34" t="s">
        <v>498</v>
      </c>
      <c r="F241" s="73"/>
      <c r="G241" s="29">
        <f>G242</f>
        <v>3423750</v>
      </c>
      <c r="H241" s="29">
        <f t="shared" si="133"/>
        <v>3423750</v>
      </c>
      <c r="I241" s="29">
        <f t="shared" si="133"/>
        <v>640750</v>
      </c>
      <c r="J241" s="115">
        <f t="shared" si="115"/>
        <v>18.714859437751006</v>
      </c>
    </row>
    <row r="242" spans="1:10" ht="25.5" customHeight="1">
      <c r="A242" s="182">
        <v>230</v>
      </c>
      <c r="B242" s="176" t="s">
        <v>19</v>
      </c>
      <c r="C242" s="40" t="s">
        <v>151</v>
      </c>
      <c r="D242" s="40" t="s">
        <v>107</v>
      </c>
      <c r="E242" s="34" t="s">
        <v>498</v>
      </c>
      <c r="F242" s="73">
        <v>200</v>
      </c>
      <c r="G242" s="29">
        <f>G243</f>
        <v>3423750</v>
      </c>
      <c r="H242" s="29">
        <f t="shared" si="133"/>
        <v>3423750</v>
      </c>
      <c r="I242" s="29">
        <f t="shared" si="133"/>
        <v>640750</v>
      </c>
      <c r="J242" s="115">
        <f t="shared" si="115"/>
        <v>18.714859437751006</v>
      </c>
    </row>
    <row r="243" spans="1:10">
      <c r="A243" s="182">
        <v>231</v>
      </c>
      <c r="B243" s="176" t="s">
        <v>20</v>
      </c>
      <c r="C243" s="40" t="s">
        <v>151</v>
      </c>
      <c r="D243" s="40" t="s">
        <v>107</v>
      </c>
      <c r="E243" s="34" t="s">
        <v>498</v>
      </c>
      <c r="F243" s="73">
        <v>240</v>
      </c>
      <c r="G243" s="29">
        <f>3783750-360000</f>
        <v>3423750</v>
      </c>
      <c r="H243" s="29">
        <v>3423750</v>
      </c>
      <c r="I243" s="115">
        <v>640750</v>
      </c>
      <c r="J243" s="115">
        <f t="shared" si="115"/>
        <v>18.714859437751006</v>
      </c>
    </row>
    <row r="244" spans="1:10" ht="30">
      <c r="A244" s="182">
        <v>232</v>
      </c>
      <c r="B244" s="177" t="s">
        <v>552</v>
      </c>
      <c r="C244" s="40" t="s">
        <v>151</v>
      </c>
      <c r="D244" s="40" t="s">
        <v>107</v>
      </c>
      <c r="E244" s="34" t="s">
        <v>551</v>
      </c>
      <c r="F244" s="73"/>
      <c r="G244" s="29">
        <f>G245</f>
        <v>360000</v>
      </c>
      <c r="H244" s="29">
        <f t="shared" ref="H244:I245" si="135">H245</f>
        <v>360000</v>
      </c>
      <c r="I244" s="29">
        <f t="shared" si="135"/>
        <v>356160</v>
      </c>
      <c r="J244" s="115">
        <f t="shared" si="115"/>
        <v>98.933333333333323</v>
      </c>
    </row>
    <row r="245" spans="1:10">
      <c r="A245" s="182">
        <v>233</v>
      </c>
      <c r="B245" s="176" t="s">
        <v>19</v>
      </c>
      <c r="C245" s="40" t="s">
        <v>151</v>
      </c>
      <c r="D245" s="40" t="s">
        <v>107</v>
      </c>
      <c r="E245" s="34" t="s">
        <v>551</v>
      </c>
      <c r="F245" s="73">
        <v>200</v>
      </c>
      <c r="G245" s="29">
        <f>G246</f>
        <v>360000</v>
      </c>
      <c r="H245" s="29">
        <f t="shared" si="135"/>
        <v>360000</v>
      </c>
      <c r="I245" s="29">
        <f t="shared" si="135"/>
        <v>356160</v>
      </c>
      <c r="J245" s="115">
        <f t="shared" si="115"/>
        <v>98.933333333333323</v>
      </c>
    </row>
    <row r="246" spans="1:10">
      <c r="A246" s="182">
        <v>234</v>
      </c>
      <c r="B246" s="176" t="s">
        <v>20</v>
      </c>
      <c r="C246" s="40" t="s">
        <v>151</v>
      </c>
      <c r="D246" s="40" t="s">
        <v>107</v>
      </c>
      <c r="E246" s="34" t="s">
        <v>551</v>
      </c>
      <c r="F246" s="73">
        <v>240</v>
      </c>
      <c r="G246" s="29">
        <v>360000</v>
      </c>
      <c r="H246" s="29">
        <v>360000</v>
      </c>
      <c r="I246" s="115">
        <v>356160</v>
      </c>
      <c r="J246" s="115">
        <f t="shared" si="115"/>
        <v>98.933333333333323</v>
      </c>
    </row>
    <row r="247" spans="1:10">
      <c r="A247" s="182">
        <v>235</v>
      </c>
      <c r="B247" s="51" t="s">
        <v>108</v>
      </c>
      <c r="C247" s="40" t="s">
        <v>151</v>
      </c>
      <c r="D247" s="40" t="s">
        <v>109</v>
      </c>
      <c r="E247" s="112"/>
      <c r="F247" s="73"/>
      <c r="G247" s="29">
        <f>G256+G248</f>
        <v>74214230</v>
      </c>
      <c r="H247" s="29">
        <f t="shared" ref="H247:I247" si="136">H256+H248</f>
        <v>74214230</v>
      </c>
      <c r="I247" s="29">
        <f t="shared" si="136"/>
        <v>72853480.769999996</v>
      </c>
      <c r="J247" s="115">
        <f t="shared" si="115"/>
        <v>98.166457793875921</v>
      </c>
    </row>
    <row r="248" spans="1:10">
      <c r="A248" s="182">
        <v>236</v>
      </c>
      <c r="B248" s="51" t="s">
        <v>370</v>
      </c>
      <c r="C248" s="40" t="s">
        <v>151</v>
      </c>
      <c r="D248" s="40" t="s">
        <v>371</v>
      </c>
      <c r="E248" s="112"/>
      <c r="F248" s="73"/>
      <c r="G248" s="29">
        <f t="shared" ref="G248:I252" si="137">G249</f>
        <v>181930</v>
      </c>
      <c r="H248" s="29">
        <f t="shared" si="137"/>
        <v>181930</v>
      </c>
      <c r="I248" s="29">
        <f t="shared" si="137"/>
        <v>158323.64000000001</v>
      </c>
      <c r="J248" s="115">
        <f t="shared" si="115"/>
        <v>87.024481943604698</v>
      </c>
    </row>
    <row r="249" spans="1:10" ht="30">
      <c r="A249" s="182">
        <v>237</v>
      </c>
      <c r="B249" s="122" t="s">
        <v>56</v>
      </c>
      <c r="C249" s="40" t="s">
        <v>151</v>
      </c>
      <c r="D249" s="40" t="s">
        <v>371</v>
      </c>
      <c r="E249" s="112">
        <v>1100000000</v>
      </c>
      <c r="F249" s="73"/>
      <c r="G249" s="29">
        <f t="shared" si="137"/>
        <v>181930</v>
      </c>
      <c r="H249" s="29">
        <f t="shared" si="137"/>
        <v>181930</v>
      </c>
      <c r="I249" s="29">
        <f t="shared" si="137"/>
        <v>158323.64000000001</v>
      </c>
      <c r="J249" s="115">
        <f t="shared" si="115"/>
        <v>87.024481943604698</v>
      </c>
    </row>
    <row r="250" spans="1:10" ht="45">
      <c r="A250" s="182">
        <v>238</v>
      </c>
      <c r="B250" s="171" t="s">
        <v>480</v>
      </c>
      <c r="C250" s="40" t="s">
        <v>151</v>
      </c>
      <c r="D250" s="40" t="s">
        <v>371</v>
      </c>
      <c r="E250" s="112">
        <v>1140000000</v>
      </c>
      <c r="F250" s="73"/>
      <c r="G250" s="29">
        <f>G251</f>
        <v>181930</v>
      </c>
      <c r="H250" s="29">
        <f t="shared" si="137"/>
        <v>181930</v>
      </c>
      <c r="I250" s="29">
        <f t="shared" si="137"/>
        <v>158323.64000000001</v>
      </c>
      <c r="J250" s="115">
        <f t="shared" si="115"/>
        <v>87.024481943604698</v>
      </c>
    </row>
    <row r="251" spans="1:10">
      <c r="A251" s="182">
        <v>239</v>
      </c>
      <c r="B251" s="171" t="s">
        <v>386</v>
      </c>
      <c r="C251" s="40" t="s">
        <v>151</v>
      </c>
      <c r="D251" s="40" t="s">
        <v>371</v>
      </c>
      <c r="E251" s="112">
        <v>1140092030</v>
      </c>
      <c r="F251" s="73"/>
      <c r="G251" s="29">
        <f>G252+G254</f>
        <v>181930</v>
      </c>
      <c r="H251" s="29">
        <f t="shared" ref="H251:I251" si="138">H252+H254</f>
        <v>181930</v>
      </c>
      <c r="I251" s="29">
        <f t="shared" si="138"/>
        <v>158323.64000000001</v>
      </c>
      <c r="J251" s="115">
        <f t="shared" si="115"/>
        <v>87.024481943604698</v>
      </c>
    </row>
    <row r="252" spans="1:10">
      <c r="A252" s="182">
        <v>240</v>
      </c>
      <c r="B252" s="176" t="s">
        <v>19</v>
      </c>
      <c r="C252" s="40" t="s">
        <v>151</v>
      </c>
      <c r="D252" s="40" t="s">
        <v>371</v>
      </c>
      <c r="E252" s="112">
        <v>1140092030</v>
      </c>
      <c r="F252" s="73">
        <v>200</v>
      </c>
      <c r="G252" s="29">
        <f t="shared" si="137"/>
        <v>171930</v>
      </c>
      <c r="H252" s="29">
        <f t="shared" si="137"/>
        <v>171930</v>
      </c>
      <c r="I252" s="29">
        <f t="shared" si="137"/>
        <v>158323.64000000001</v>
      </c>
      <c r="J252" s="115">
        <f t="shared" si="115"/>
        <v>92.08610481009714</v>
      </c>
    </row>
    <row r="253" spans="1:10">
      <c r="A253" s="182">
        <v>241</v>
      </c>
      <c r="B253" s="176" t="s">
        <v>20</v>
      </c>
      <c r="C253" s="40" t="s">
        <v>151</v>
      </c>
      <c r="D253" s="40" t="s">
        <v>371</v>
      </c>
      <c r="E253" s="112">
        <v>1140092030</v>
      </c>
      <c r="F253" s="73">
        <v>240</v>
      </c>
      <c r="G253" s="29">
        <f>331930-160000</f>
        <v>171930</v>
      </c>
      <c r="H253" s="29">
        <v>171930</v>
      </c>
      <c r="I253" s="115">
        <v>158323.64000000001</v>
      </c>
      <c r="J253" s="115">
        <f t="shared" si="115"/>
        <v>92.08610481009714</v>
      </c>
    </row>
    <row r="254" spans="1:10">
      <c r="A254" s="182">
        <v>242</v>
      </c>
      <c r="B254" s="176" t="s">
        <v>31</v>
      </c>
      <c r="C254" s="40" t="s">
        <v>151</v>
      </c>
      <c r="D254" s="40" t="s">
        <v>371</v>
      </c>
      <c r="E254" s="112">
        <v>1140092030</v>
      </c>
      <c r="F254" s="73">
        <v>800</v>
      </c>
      <c r="G254" s="29">
        <f>G255</f>
        <v>10000</v>
      </c>
      <c r="H254" s="29">
        <f t="shared" ref="H254:I254" si="139">H255</f>
        <v>10000</v>
      </c>
      <c r="I254" s="29">
        <f t="shared" si="139"/>
        <v>0</v>
      </c>
      <c r="J254" s="115">
        <f t="shared" si="115"/>
        <v>0</v>
      </c>
    </row>
    <row r="255" spans="1:10">
      <c r="A255" s="182">
        <v>243</v>
      </c>
      <c r="B255" s="176" t="s">
        <v>79</v>
      </c>
      <c r="C255" s="40" t="s">
        <v>151</v>
      </c>
      <c r="D255" s="40" t="s">
        <v>371</v>
      </c>
      <c r="E255" s="112">
        <v>1140092030</v>
      </c>
      <c r="F255" s="73">
        <v>850</v>
      </c>
      <c r="G255" s="29">
        <f>15820-5820</f>
        <v>10000</v>
      </c>
      <c r="H255" s="29">
        <v>10000</v>
      </c>
      <c r="I255" s="115">
        <v>0</v>
      </c>
      <c r="J255" s="115">
        <f t="shared" si="115"/>
        <v>0</v>
      </c>
    </row>
    <row r="256" spans="1:10">
      <c r="A256" s="182">
        <v>244</v>
      </c>
      <c r="B256" s="171" t="s">
        <v>50</v>
      </c>
      <c r="C256" s="40" t="s">
        <v>151</v>
      </c>
      <c r="D256" s="40" t="s">
        <v>111</v>
      </c>
      <c r="E256" s="112"/>
      <c r="F256" s="73"/>
      <c r="G256" s="29">
        <f>G257</f>
        <v>74032300</v>
      </c>
      <c r="H256" s="29">
        <f t="shared" ref="H256:I256" si="140">H257</f>
        <v>74032300</v>
      </c>
      <c r="I256" s="29">
        <f t="shared" si="140"/>
        <v>72695157.129999995</v>
      </c>
      <c r="J256" s="115">
        <f t="shared" si="115"/>
        <v>98.193838540745048</v>
      </c>
    </row>
    <row r="257" spans="1:12" ht="30">
      <c r="A257" s="182">
        <v>245</v>
      </c>
      <c r="B257" s="171" t="s">
        <v>51</v>
      </c>
      <c r="C257" s="40" t="s">
        <v>151</v>
      </c>
      <c r="D257" s="40" t="s">
        <v>111</v>
      </c>
      <c r="E257" s="34" t="s">
        <v>169</v>
      </c>
      <c r="F257" s="73"/>
      <c r="G257" s="29">
        <f>G258</f>
        <v>74032300</v>
      </c>
      <c r="H257" s="29">
        <f t="shared" ref="H257:I257" si="141">H258</f>
        <v>74032300</v>
      </c>
      <c r="I257" s="29">
        <f t="shared" si="141"/>
        <v>72695157.129999995</v>
      </c>
      <c r="J257" s="115">
        <f t="shared" si="115"/>
        <v>98.193838540745048</v>
      </c>
    </row>
    <row r="258" spans="1:12">
      <c r="A258" s="182">
        <v>246</v>
      </c>
      <c r="B258" s="30" t="s">
        <v>38</v>
      </c>
      <c r="C258" s="40" t="s">
        <v>151</v>
      </c>
      <c r="D258" s="40" t="s">
        <v>111</v>
      </c>
      <c r="E258" s="34" t="s">
        <v>179</v>
      </c>
      <c r="F258" s="73"/>
      <c r="G258" s="29">
        <f t="shared" ref="G258:H258" si="142">G259+G262</f>
        <v>74032300</v>
      </c>
      <c r="H258" s="29">
        <f t="shared" si="142"/>
        <v>74032300</v>
      </c>
      <c r="I258" s="29">
        <f t="shared" ref="I258" si="143">I259+I262</f>
        <v>72695157.129999995</v>
      </c>
      <c r="J258" s="115">
        <f t="shared" si="115"/>
        <v>98.193838540745048</v>
      </c>
    </row>
    <row r="259" spans="1:12" ht="45">
      <c r="A259" s="182">
        <v>247</v>
      </c>
      <c r="B259" s="60" t="s">
        <v>285</v>
      </c>
      <c r="C259" s="40" t="s">
        <v>151</v>
      </c>
      <c r="D259" s="40" t="s">
        <v>111</v>
      </c>
      <c r="E259" s="34" t="s">
        <v>180</v>
      </c>
      <c r="F259" s="73"/>
      <c r="G259" s="29">
        <f t="shared" ref="G259:I260" si="144">G260</f>
        <v>28372200</v>
      </c>
      <c r="H259" s="29">
        <f t="shared" si="144"/>
        <v>28372200</v>
      </c>
      <c r="I259" s="29">
        <f t="shared" si="144"/>
        <v>28372200</v>
      </c>
      <c r="J259" s="115">
        <f t="shared" si="115"/>
        <v>100</v>
      </c>
      <c r="K259" s="117"/>
      <c r="L259" s="117"/>
    </row>
    <row r="260" spans="1:12">
      <c r="A260" s="182">
        <v>248</v>
      </c>
      <c r="B260" s="176" t="s">
        <v>31</v>
      </c>
      <c r="C260" s="40" t="s">
        <v>151</v>
      </c>
      <c r="D260" s="40" t="s">
        <v>111</v>
      </c>
      <c r="E260" s="34" t="s">
        <v>180</v>
      </c>
      <c r="F260" s="73">
        <v>800</v>
      </c>
      <c r="G260" s="29">
        <f t="shared" si="144"/>
        <v>28372200</v>
      </c>
      <c r="H260" s="29">
        <f t="shared" si="144"/>
        <v>28372200</v>
      </c>
      <c r="I260" s="29">
        <f t="shared" si="144"/>
        <v>28372200</v>
      </c>
      <c r="J260" s="115">
        <f t="shared" si="115"/>
        <v>100</v>
      </c>
    </row>
    <row r="261" spans="1:12" ht="30">
      <c r="A261" s="182">
        <v>249</v>
      </c>
      <c r="B261" s="176" t="s">
        <v>44</v>
      </c>
      <c r="C261" s="40" t="s">
        <v>151</v>
      </c>
      <c r="D261" s="40" t="s">
        <v>111</v>
      </c>
      <c r="E261" s="34" t="s">
        <v>180</v>
      </c>
      <c r="F261" s="73">
        <v>810</v>
      </c>
      <c r="G261" s="32">
        <f>24092800+1457100+2822300</f>
        <v>28372200</v>
      </c>
      <c r="H261" s="29">
        <v>28372200</v>
      </c>
      <c r="I261" s="115">
        <v>28372200</v>
      </c>
      <c r="J261" s="115">
        <f t="shared" si="115"/>
        <v>100</v>
      </c>
    </row>
    <row r="262" spans="1:12" ht="24.75" customHeight="1">
      <c r="A262" s="182">
        <v>250</v>
      </c>
      <c r="B262" s="60" t="s">
        <v>268</v>
      </c>
      <c r="C262" s="40" t="s">
        <v>151</v>
      </c>
      <c r="D262" s="40" t="s">
        <v>111</v>
      </c>
      <c r="E262" s="34" t="s">
        <v>181</v>
      </c>
      <c r="F262" s="73"/>
      <c r="G262" s="29">
        <f t="shared" ref="G262:I263" si="145">G263</f>
        <v>45660100</v>
      </c>
      <c r="H262" s="29">
        <f t="shared" si="145"/>
        <v>45660100</v>
      </c>
      <c r="I262" s="29">
        <f t="shared" si="145"/>
        <v>44322957.130000003</v>
      </c>
      <c r="J262" s="115">
        <f t="shared" si="115"/>
        <v>97.071528818377544</v>
      </c>
    </row>
    <row r="263" spans="1:12">
      <c r="A263" s="182">
        <v>251</v>
      </c>
      <c r="B263" s="176" t="s">
        <v>31</v>
      </c>
      <c r="C263" s="40" t="s">
        <v>151</v>
      </c>
      <c r="D263" s="40" t="s">
        <v>111</v>
      </c>
      <c r="E263" s="34" t="s">
        <v>181</v>
      </c>
      <c r="F263" s="73">
        <v>800</v>
      </c>
      <c r="G263" s="29">
        <f t="shared" si="145"/>
        <v>45660100</v>
      </c>
      <c r="H263" s="29">
        <f t="shared" si="145"/>
        <v>45660100</v>
      </c>
      <c r="I263" s="29">
        <f t="shared" si="145"/>
        <v>44322957.130000003</v>
      </c>
      <c r="J263" s="115">
        <f t="shared" si="115"/>
        <v>97.071528818377544</v>
      </c>
    </row>
    <row r="264" spans="1:12" ht="30">
      <c r="A264" s="182">
        <v>252</v>
      </c>
      <c r="B264" s="176" t="s">
        <v>44</v>
      </c>
      <c r="C264" s="40" t="s">
        <v>151</v>
      </c>
      <c r="D264" s="40" t="s">
        <v>111</v>
      </c>
      <c r="E264" s="34" t="s">
        <v>181</v>
      </c>
      <c r="F264" s="73">
        <v>810</v>
      </c>
      <c r="G264" s="32">
        <f>43687600+1972500</f>
        <v>45660100</v>
      </c>
      <c r="H264" s="32">
        <v>45660100</v>
      </c>
      <c r="I264" s="115">
        <v>44322957.130000003</v>
      </c>
      <c r="J264" s="115">
        <f t="shared" si="115"/>
        <v>97.071528818377544</v>
      </c>
    </row>
    <row r="265" spans="1:12">
      <c r="A265" s="182">
        <v>253</v>
      </c>
      <c r="B265" s="177" t="s">
        <v>415</v>
      </c>
      <c r="C265" s="40" t="s">
        <v>151</v>
      </c>
      <c r="D265" s="40" t="s">
        <v>416</v>
      </c>
      <c r="E265" s="34"/>
      <c r="F265" s="73"/>
      <c r="G265" s="32">
        <f>G266</f>
        <v>799840</v>
      </c>
      <c r="H265" s="32">
        <f t="shared" ref="H265:I265" si="146">H266</f>
        <v>799840</v>
      </c>
      <c r="I265" s="32">
        <f t="shared" si="146"/>
        <v>523646.73</v>
      </c>
      <c r="J265" s="115">
        <f t="shared" si="115"/>
        <v>65.468935037007398</v>
      </c>
    </row>
    <row r="266" spans="1:12">
      <c r="A266" s="182">
        <v>254</v>
      </c>
      <c r="B266" s="177" t="s">
        <v>419</v>
      </c>
      <c r="C266" s="40" t="s">
        <v>151</v>
      </c>
      <c r="D266" s="40" t="s">
        <v>417</v>
      </c>
      <c r="E266" s="34"/>
      <c r="F266" s="73"/>
      <c r="G266" s="32">
        <f t="shared" ref="G266:I266" si="147">G267</f>
        <v>799840</v>
      </c>
      <c r="H266" s="32">
        <f t="shared" si="147"/>
        <v>799840</v>
      </c>
      <c r="I266" s="32">
        <f t="shared" si="147"/>
        <v>523646.73</v>
      </c>
      <c r="J266" s="115">
        <f t="shared" si="115"/>
        <v>65.468935037007398</v>
      </c>
    </row>
    <row r="267" spans="1:12" ht="30">
      <c r="A267" s="182">
        <v>255</v>
      </c>
      <c r="B267" s="31" t="s">
        <v>375</v>
      </c>
      <c r="C267" s="175" t="s">
        <v>151</v>
      </c>
      <c r="D267" s="175" t="s">
        <v>417</v>
      </c>
      <c r="E267" s="34" t="s">
        <v>178</v>
      </c>
      <c r="F267" s="170"/>
      <c r="G267" s="29">
        <f t="shared" ref="G267:I272" si="148">G268</f>
        <v>799840</v>
      </c>
      <c r="H267" s="29">
        <f t="shared" si="148"/>
        <v>799840</v>
      </c>
      <c r="I267" s="29">
        <f t="shared" si="148"/>
        <v>523646.73</v>
      </c>
      <c r="J267" s="115">
        <f t="shared" si="115"/>
        <v>65.468935037007398</v>
      </c>
    </row>
    <row r="268" spans="1:12">
      <c r="A268" s="182">
        <v>256</v>
      </c>
      <c r="B268" s="31" t="s">
        <v>482</v>
      </c>
      <c r="C268" s="175" t="s">
        <v>151</v>
      </c>
      <c r="D268" s="175" t="s">
        <v>417</v>
      </c>
      <c r="E268" s="34" t="s">
        <v>376</v>
      </c>
      <c r="F268" s="170"/>
      <c r="G268" s="29">
        <f t="shared" si="148"/>
        <v>799840</v>
      </c>
      <c r="H268" s="29">
        <f t="shared" si="148"/>
        <v>799840</v>
      </c>
      <c r="I268" s="29">
        <f t="shared" si="148"/>
        <v>523646.73</v>
      </c>
      <c r="J268" s="115">
        <f t="shared" si="115"/>
        <v>65.468935037007398</v>
      </c>
    </row>
    <row r="269" spans="1:12" ht="54" customHeight="1">
      <c r="A269" s="182">
        <v>257</v>
      </c>
      <c r="B269" s="173" t="s">
        <v>49</v>
      </c>
      <c r="C269" s="175" t="s">
        <v>151</v>
      </c>
      <c r="D269" s="175" t="s">
        <v>417</v>
      </c>
      <c r="E269" s="34" t="s">
        <v>383</v>
      </c>
      <c r="F269" s="170"/>
      <c r="G269" s="29">
        <f t="shared" ref="G269:H269" si="149">G270+G272</f>
        <v>799840</v>
      </c>
      <c r="H269" s="29">
        <f t="shared" si="149"/>
        <v>799840</v>
      </c>
      <c r="I269" s="29">
        <f t="shared" ref="I269" si="150">I270+I272</f>
        <v>523646.73</v>
      </c>
      <c r="J269" s="115">
        <f t="shared" si="115"/>
        <v>65.468935037007398</v>
      </c>
    </row>
    <row r="270" spans="1:12" ht="45">
      <c r="A270" s="182">
        <v>258</v>
      </c>
      <c r="B270" s="176" t="s">
        <v>14</v>
      </c>
      <c r="C270" s="175" t="s">
        <v>151</v>
      </c>
      <c r="D270" s="175" t="s">
        <v>417</v>
      </c>
      <c r="E270" s="34" t="s">
        <v>383</v>
      </c>
      <c r="F270" s="170">
        <v>100</v>
      </c>
      <c r="G270" s="29">
        <f t="shared" ref="G270:I270" si="151">G271</f>
        <v>92996.63</v>
      </c>
      <c r="H270" s="29">
        <f t="shared" si="151"/>
        <v>92996.63</v>
      </c>
      <c r="I270" s="29">
        <f t="shared" si="151"/>
        <v>56322.720000000001</v>
      </c>
      <c r="J270" s="115">
        <f t="shared" si="115"/>
        <v>60.564259156487708</v>
      </c>
    </row>
    <row r="271" spans="1:12">
      <c r="A271" s="182">
        <v>259</v>
      </c>
      <c r="B271" s="176" t="s">
        <v>15</v>
      </c>
      <c r="C271" s="175" t="s">
        <v>151</v>
      </c>
      <c r="D271" s="175" t="s">
        <v>417</v>
      </c>
      <c r="E271" s="34" t="s">
        <v>383</v>
      </c>
      <c r="F271" s="170">
        <v>120</v>
      </c>
      <c r="G271" s="29">
        <f>90156.63+2840</f>
        <v>92996.63</v>
      </c>
      <c r="H271" s="29">
        <v>92996.63</v>
      </c>
      <c r="I271" s="115">
        <v>56322.720000000001</v>
      </c>
      <c r="J271" s="115">
        <f t="shared" ref="J271:J334" si="152">I271/H271*100</f>
        <v>60.564259156487708</v>
      </c>
    </row>
    <row r="272" spans="1:12">
      <c r="A272" s="182">
        <v>260</v>
      </c>
      <c r="B272" s="176" t="s">
        <v>19</v>
      </c>
      <c r="C272" s="175" t="s">
        <v>151</v>
      </c>
      <c r="D272" s="175" t="s">
        <v>417</v>
      </c>
      <c r="E272" s="34" t="s">
        <v>383</v>
      </c>
      <c r="F272" s="170">
        <v>200</v>
      </c>
      <c r="G272" s="29">
        <f t="shared" si="148"/>
        <v>706843.37</v>
      </c>
      <c r="H272" s="29">
        <f t="shared" si="148"/>
        <v>706843.37</v>
      </c>
      <c r="I272" s="29">
        <f t="shared" si="148"/>
        <v>467324.01</v>
      </c>
      <c r="J272" s="115">
        <f t="shared" si="152"/>
        <v>66.11422414558406</v>
      </c>
    </row>
    <row r="273" spans="1:10">
      <c r="A273" s="182">
        <v>261</v>
      </c>
      <c r="B273" s="176" t="s">
        <v>20</v>
      </c>
      <c r="C273" s="175" t="s">
        <v>151</v>
      </c>
      <c r="D273" s="175" t="s">
        <v>417</v>
      </c>
      <c r="E273" s="34" t="s">
        <v>383</v>
      </c>
      <c r="F273" s="170">
        <v>240</v>
      </c>
      <c r="G273" s="29">
        <f>474043.37+232800</f>
        <v>706843.37</v>
      </c>
      <c r="H273" s="29">
        <v>706843.37</v>
      </c>
      <c r="I273" s="115">
        <v>467324.01</v>
      </c>
      <c r="J273" s="115">
        <f t="shared" si="152"/>
        <v>66.11422414558406</v>
      </c>
    </row>
    <row r="274" spans="1:10">
      <c r="A274" s="182">
        <v>262</v>
      </c>
      <c r="B274" s="51" t="s">
        <v>112</v>
      </c>
      <c r="C274" s="40" t="s">
        <v>151</v>
      </c>
      <c r="D274" s="40" t="s">
        <v>113</v>
      </c>
      <c r="E274" s="112"/>
      <c r="F274" s="73"/>
      <c r="G274" s="29">
        <f t="shared" ref="G274:I277" si="153">G275</f>
        <v>2970100</v>
      </c>
      <c r="H274" s="29">
        <f t="shared" si="153"/>
        <v>2970100</v>
      </c>
      <c r="I274" s="29">
        <f t="shared" si="153"/>
        <v>2788096.86</v>
      </c>
      <c r="J274" s="115">
        <f t="shared" si="152"/>
        <v>93.872154472913365</v>
      </c>
    </row>
    <row r="275" spans="1:10">
      <c r="A275" s="182">
        <v>263</v>
      </c>
      <c r="B275" s="176" t="s">
        <v>52</v>
      </c>
      <c r="C275" s="40" t="s">
        <v>151</v>
      </c>
      <c r="D275" s="40" t="s">
        <v>118</v>
      </c>
      <c r="E275" s="112"/>
      <c r="F275" s="73"/>
      <c r="G275" s="29">
        <f t="shared" si="153"/>
        <v>2970100</v>
      </c>
      <c r="H275" s="29">
        <f t="shared" si="153"/>
        <v>2970100</v>
      </c>
      <c r="I275" s="29">
        <f t="shared" si="153"/>
        <v>2788096.86</v>
      </c>
      <c r="J275" s="115">
        <f t="shared" si="152"/>
        <v>93.872154472913365</v>
      </c>
    </row>
    <row r="276" spans="1:10" ht="30">
      <c r="A276" s="182">
        <v>264</v>
      </c>
      <c r="B276" s="171" t="s">
        <v>53</v>
      </c>
      <c r="C276" s="40" t="s">
        <v>151</v>
      </c>
      <c r="D276" s="40" t="s">
        <v>118</v>
      </c>
      <c r="E276" s="34" t="s">
        <v>182</v>
      </c>
      <c r="F276" s="73"/>
      <c r="G276" s="29">
        <f t="shared" si="153"/>
        <v>2970100</v>
      </c>
      <c r="H276" s="29">
        <f t="shared" si="153"/>
        <v>2970100</v>
      </c>
      <c r="I276" s="29">
        <f t="shared" si="153"/>
        <v>2788096.86</v>
      </c>
      <c r="J276" s="115">
        <f t="shared" si="152"/>
        <v>93.872154472913365</v>
      </c>
    </row>
    <row r="277" spans="1:10">
      <c r="A277" s="182">
        <v>265</v>
      </c>
      <c r="B277" s="171" t="s">
        <v>54</v>
      </c>
      <c r="C277" s="40" t="s">
        <v>151</v>
      </c>
      <c r="D277" s="40" t="s">
        <v>118</v>
      </c>
      <c r="E277" s="34" t="s">
        <v>183</v>
      </c>
      <c r="F277" s="73"/>
      <c r="G277" s="29">
        <f t="shared" si="153"/>
        <v>2970100</v>
      </c>
      <c r="H277" s="29">
        <f t="shared" si="153"/>
        <v>2970100</v>
      </c>
      <c r="I277" s="29">
        <f t="shared" si="153"/>
        <v>2788096.86</v>
      </c>
      <c r="J277" s="115">
        <f t="shared" si="152"/>
        <v>93.872154472913365</v>
      </c>
    </row>
    <row r="278" spans="1:10" ht="45">
      <c r="A278" s="182">
        <v>266</v>
      </c>
      <c r="B278" s="60" t="s">
        <v>147</v>
      </c>
      <c r="C278" s="40" t="s">
        <v>151</v>
      </c>
      <c r="D278" s="40" t="s">
        <v>118</v>
      </c>
      <c r="E278" s="34" t="s">
        <v>184</v>
      </c>
      <c r="F278" s="73"/>
      <c r="G278" s="29">
        <f t="shared" ref="G278:I278" si="154">G279+G281</f>
        <v>2970100</v>
      </c>
      <c r="H278" s="29">
        <f t="shared" si="154"/>
        <v>2970100</v>
      </c>
      <c r="I278" s="29">
        <f t="shared" si="154"/>
        <v>2788096.86</v>
      </c>
      <c r="J278" s="115">
        <f t="shared" si="152"/>
        <v>93.872154472913365</v>
      </c>
    </row>
    <row r="279" spans="1:10" ht="45">
      <c r="A279" s="182">
        <v>267</v>
      </c>
      <c r="B279" s="176" t="s">
        <v>14</v>
      </c>
      <c r="C279" s="40" t="s">
        <v>151</v>
      </c>
      <c r="D279" s="40" t="s">
        <v>118</v>
      </c>
      <c r="E279" s="34" t="s">
        <v>184</v>
      </c>
      <c r="F279" s="73">
        <v>100</v>
      </c>
      <c r="G279" s="29">
        <f t="shared" ref="G279:I279" si="155">G280</f>
        <v>2475807.7399999998</v>
      </c>
      <c r="H279" s="29">
        <f t="shared" si="155"/>
        <v>2478917.7400000002</v>
      </c>
      <c r="I279" s="29">
        <f t="shared" si="155"/>
        <v>2474134.86</v>
      </c>
      <c r="J279" s="115">
        <f t="shared" si="152"/>
        <v>99.807057736413611</v>
      </c>
    </row>
    <row r="280" spans="1:10">
      <c r="A280" s="182">
        <v>268</v>
      </c>
      <c r="B280" s="176" t="s">
        <v>15</v>
      </c>
      <c r="C280" s="40" t="s">
        <v>151</v>
      </c>
      <c r="D280" s="40" t="s">
        <v>118</v>
      </c>
      <c r="E280" s="34" t="s">
        <v>184</v>
      </c>
      <c r="F280" s="73">
        <v>120</v>
      </c>
      <c r="G280" s="29">
        <f>1853132.47+450784+47211.37+65438+19762+32751.9+6728</f>
        <v>2475807.7399999998</v>
      </c>
      <c r="H280" s="29">
        <v>2478917.7400000002</v>
      </c>
      <c r="I280" s="115">
        <v>2474134.86</v>
      </c>
      <c r="J280" s="115">
        <f t="shared" si="152"/>
        <v>99.807057736413611</v>
      </c>
    </row>
    <row r="281" spans="1:10">
      <c r="A281" s="182">
        <v>269</v>
      </c>
      <c r="B281" s="176" t="s">
        <v>19</v>
      </c>
      <c r="C281" s="40" t="s">
        <v>151</v>
      </c>
      <c r="D281" s="40" t="s">
        <v>118</v>
      </c>
      <c r="E281" s="34" t="s">
        <v>184</v>
      </c>
      <c r="F281" s="73">
        <v>200</v>
      </c>
      <c r="G281" s="29">
        <f t="shared" ref="G281:I281" si="156">G282</f>
        <v>494292.26</v>
      </c>
      <c r="H281" s="29">
        <f t="shared" si="156"/>
        <v>491182.26</v>
      </c>
      <c r="I281" s="29">
        <f t="shared" si="156"/>
        <v>313962</v>
      </c>
      <c r="J281" s="115">
        <f t="shared" si="152"/>
        <v>63.919653775769504</v>
      </c>
    </row>
    <row r="282" spans="1:10">
      <c r="A282" s="182">
        <v>270</v>
      </c>
      <c r="B282" s="176" t="s">
        <v>20</v>
      </c>
      <c r="C282" s="40" t="s">
        <v>151</v>
      </c>
      <c r="D282" s="40" t="s">
        <v>118</v>
      </c>
      <c r="E282" s="34" t="s">
        <v>184</v>
      </c>
      <c r="F282" s="73">
        <v>240</v>
      </c>
      <c r="G282" s="29">
        <f>454767.53-47211.37+126216-32751.9-6728</f>
        <v>494292.26</v>
      </c>
      <c r="H282" s="29">
        <v>491182.26</v>
      </c>
      <c r="I282" s="115">
        <v>313962</v>
      </c>
      <c r="J282" s="115">
        <f t="shared" si="152"/>
        <v>63.919653775769504</v>
      </c>
    </row>
    <row r="283" spans="1:10">
      <c r="A283" s="182">
        <v>271</v>
      </c>
      <c r="B283" s="51" t="s">
        <v>123</v>
      </c>
      <c r="C283" s="40" t="s">
        <v>151</v>
      </c>
      <c r="D283" s="40" t="s">
        <v>124</v>
      </c>
      <c r="E283" s="112"/>
      <c r="F283" s="73"/>
      <c r="G283" s="29">
        <f t="shared" ref="G283:I283" si="157">G290+G296+G302+G284</f>
        <v>8516407.5500000007</v>
      </c>
      <c r="H283" s="29">
        <f t="shared" si="157"/>
        <v>8516407.5499999989</v>
      </c>
      <c r="I283" s="29">
        <f t="shared" si="157"/>
        <v>4563848.3600000003</v>
      </c>
      <c r="J283" s="115">
        <f t="shared" si="152"/>
        <v>53.588891010740802</v>
      </c>
    </row>
    <row r="284" spans="1:10">
      <c r="A284" s="182">
        <v>272</v>
      </c>
      <c r="B284" s="51" t="s">
        <v>75</v>
      </c>
      <c r="C284" s="40" t="s">
        <v>151</v>
      </c>
      <c r="D284" s="40" t="s">
        <v>125</v>
      </c>
      <c r="E284" s="112"/>
      <c r="F284" s="73"/>
      <c r="G284" s="29">
        <f t="shared" ref="G284:I284" si="158">G285</f>
        <v>880000</v>
      </c>
      <c r="H284" s="29">
        <f t="shared" si="158"/>
        <v>880000</v>
      </c>
      <c r="I284" s="29">
        <f t="shared" si="158"/>
        <v>870373.58</v>
      </c>
      <c r="J284" s="115">
        <f t="shared" si="152"/>
        <v>98.906088636363634</v>
      </c>
    </row>
    <row r="285" spans="1:10">
      <c r="A285" s="182">
        <v>273</v>
      </c>
      <c r="B285" s="51" t="s">
        <v>306</v>
      </c>
      <c r="C285" s="40" t="s">
        <v>151</v>
      </c>
      <c r="D285" s="40" t="s">
        <v>125</v>
      </c>
      <c r="E285" s="34" t="s">
        <v>176</v>
      </c>
      <c r="F285" s="73"/>
      <c r="G285" s="29">
        <f t="shared" ref="G285:I288" si="159">G286</f>
        <v>880000</v>
      </c>
      <c r="H285" s="29">
        <f t="shared" si="159"/>
        <v>880000</v>
      </c>
      <c r="I285" s="29">
        <f t="shared" si="159"/>
        <v>870373.58</v>
      </c>
      <c r="J285" s="115">
        <f t="shared" si="152"/>
        <v>98.906088636363634</v>
      </c>
    </row>
    <row r="286" spans="1:10">
      <c r="A286" s="182">
        <v>274</v>
      </c>
      <c r="B286" s="51" t="s">
        <v>387</v>
      </c>
      <c r="C286" s="40" t="s">
        <v>151</v>
      </c>
      <c r="D286" s="40" t="s">
        <v>125</v>
      </c>
      <c r="E286" s="34" t="s">
        <v>382</v>
      </c>
      <c r="F286" s="73"/>
      <c r="G286" s="29">
        <f t="shared" si="159"/>
        <v>880000</v>
      </c>
      <c r="H286" s="29">
        <f t="shared" si="159"/>
        <v>880000</v>
      </c>
      <c r="I286" s="29">
        <f t="shared" si="159"/>
        <v>870373.58</v>
      </c>
      <c r="J286" s="115">
        <f t="shared" si="152"/>
        <v>98.906088636363634</v>
      </c>
    </row>
    <row r="287" spans="1:10" ht="60">
      <c r="A287" s="182">
        <v>275</v>
      </c>
      <c r="B287" s="74" t="s">
        <v>388</v>
      </c>
      <c r="C287" s="40" t="s">
        <v>151</v>
      </c>
      <c r="D287" s="40" t="s">
        <v>125</v>
      </c>
      <c r="E287" s="34" t="s">
        <v>389</v>
      </c>
      <c r="F287" s="73"/>
      <c r="G287" s="29">
        <f t="shared" si="159"/>
        <v>880000</v>
      </c>
      <c r="H287" s="29">
        <f t="shared" si="159"/>
        <v>880000</v>
      </c>
      <c r="I287" s="29">
        <f t="shared" si="159"/>
        <v>870373.58</v>
      </c>
      <c r="J287" s="115">
        <f t="shared" si="152"/>
        <v>98.906088636363634</v>
      </c>
    </row>
    <row r="288" spans="1:10">
      <c r="A288" s="182">
        <v>276</v>
      </c>
      <c r="B288" s="176" t="s">
        <v>76</v>
      </c>
      <c r="C288" s="40" t="s">
        <v>151</v>
      </c>
      <c r="D288" s="40" t="s">
        <v>125</v>
      </c>
      <c r="E288" s="34" t="s">
        <v>389</v>
      </c>
      <c r="F288" s="73">
        <v>300</v>
      </c>
      <c r="G288" s="29">
        <f t="shared" si="159"/>
        <v>880000</v>
      </c>
      <c r="H288" s="29">
        <f t="shared" si="159"/>
        <v>880000</v>
      </c>
      <c r="I288" s="29">
        <f t="shared" si="159"/>
        <v>870373.58</v>
      </c>
      <c r="J288" s="115">
        <f t="shared" si="152"/>
        <v>98.906088636363634</v>
      </c>
    </row>
    <row r="289" spans="1:10">
      <c r="A289" s="182">
        <v>277</v>
      </c>
      <c r="B289" s="51" t="s">
        <v>390</v>
      </c>
      <c r="C289" s="40" t="s">
        <v>151</v>
      </c>
      <c r="D289" s="40" t="s">
        <v>125</v>
      </c>
      <c r="E289" s="34" t="s">
        <v>389</v>
      </c>
      <c r="F289" s="73">
        <v>310</v>
      </c>
      <c r="G289" s="29">
        <f>960000-80000</f>
        <v>880000</v>
      </c>
      <c r="H289" s="29">
        <v>880000</v>
      </c>
      <c r="I289" s="115">
        <v>870373.58</v>
      </c>
      <c r="J289" s="115">
        <f t="shared" si="152"/>
        <v>98.906088636363634</v>
      </c>
    </row>
    <row r="290" spans="1:10">
      <c r="A290" s="182">
        <v>278</v>
      </c>
      <c r="B290" s="176" t="s">
        <v>77</v>
      </c>
      <c r="C290" s="40" t="s">
        <v>151</v>
      </c>
      <c r="D290" s="40" t="s">
        <v>126</v>
      </c>
      <c r="E290" s="34"/>
      <c r="F290" s="73"/>
      <c r="G290" s="29">
        <f t="shared" ref="G290:I294" si="160">G291</f>
        <v>1297287.9400000002</v>
      </c>
      <c r="H290" s="29">
        <f t="shared" si="160"/>
        <v>1297287.94</v>
      </c>
      <c r="I290" s="29">
        <f t="shared" si="160"/>
        <v>1297287.94</v>
      </c>
      <c r="J290" s="115">
        <f t="shared" si="152"/>
        <v>100</v>
      </c>
    </row>
    <row r="291" spans="1:10" ht="30">
      <c r="A291" s="182">
        <v>279</v>
      </c>
      <c r="B291" s="122" t="s">
        <v>56</v>
      </c>
      <c r="C291" s="40" t="s">
        <v>151</v>
      </c>
      <c r="D291" s="40" t="s">
        <v>126</v>
      </c>
      <c r="E291" s="112">
        <v>1100000000</v>
      </c>
      <c r="F291" s="73"/>
      <c r="G291" s="29">
        <f t="shared" si="160"/>
        <v>1297287.9400000002</v>
      </c>
      <c r="H291" s="29">
        <f t="shared" si="160"/>
        <v>1297287.94</v>
      </c>
      <c r="I291" s="29">
        <f t="shared" si="160"/>
        <v>1297287.94</v>
      </c>
      <c r="J291" s="115">
        <f t="shared" si="152"/>
        <v>100</v>
      </c>
    </row>
    <row r="292" spans="1:10">
      <c r="A292" s="182">
        <v>280</v>
      </c>
      <c r="B292" s="122" t="s">
        <v>140</v>
      </c>
      <c r="C292" s="40" t="s">
        <v>151</v>
      </c>
      <c r="D292" s="40" t="s">
        <v>126</v>
      </c>
      <c r="E292" s="112">
        <v>1120000000</v>
      </c>
      <c r="F292" s="73"/>
      <c r="G292" s="29">
        <f t="shared" si="160"/>
        <v>1297287.9400000002</v>
      </c>
      <c r="H292" s="29">
        <f t="shared" si="160"/>
        <v>1297287.94</v>
      </c>
      <c r="I292" s="29">
        <f t="shared" si="160"/>
        <v>1297287.94</v>
      </c>
      <c r="J292" s="115">
        <f t="shared" si="152"/>
        <v>100</v>
      </c>
    </row>
    <row r="293" spans="1:10">
      <c r="A293" s="182">
        <v>281</v>
      </c>
      <c r="B293" s="171" t="s">
        <v>145</v>
      </c>
      <c r="C293" s="40" t="s">
        <v>151</v>
      </c>
      <c r="D293" s="40" t="s">
        <v>126</v>
      </c>
      <c r="E293" s="112" t="s">
        <v>269</v>
      </c>
      <c r="F293" s="73"/>
      <c r="G293" s="29">
        <f t="shared" si="160"/>
        <v>1297287.9400000002</v>
      </c>
      <c r="H293" s="29">
        <f t="shared" si="160"/>
        <v>1297287.94</v>
      </c>
      <c r="I293" s="29">
        <f t="shared" si="160"/>
        <v>1297287.94</v>
      </c>
      <c r="J293" s="115">
        <f t="shared" si="152"/>
        <v>100</v>
      </c>
    </row>
    <row r="294" spans="1:10">
      <c r="A294" s="182">
        <v>282</v>
      </c>
      <c r="B294" s="176" t="s">
        <v>76</v>
      </c>
      <c r="C294" s="40" t="s">
        <v>151</v>
      </c>
      <c r="D294" s="40" t="s">
        <v>126</v>
      </c>
      <c r="E294" s="112" t="s">
        <v>269</v>
      </c>
      <c r="F294" s="73">
        <v>300</v>
      </c>
      <c r="G294" s="29">
        <f t="shared" si="160"/>
        <v>1297287.9400000002</v>
      </c>
      <c r="H294" s="29">
        <f t="shared" si="160"/>
        <v>1297287.94</v>
      </c>
      <c r="I294" s="29">
        <f t="shared" si="160"/>
        <v>1297287.94</v>
      </c>
      <c r="J294" s="115">
        <f t="shared" si="152"/>
        <v>100</v>
      </c>
    </row>
    <row r="295" spans="1:10">
      <c r="A295" s="182">
        <v>283</v>
      </c>
      <c r="B295" s="176" t="s">
        <v>80</v>
      </c>
      <c r="C295" s="40" t="s">
        <v>151</v>
      </c>
      <c r="D295" s="40" t="s">
        <v>126</v>
      </c>
      <c r="E295" s="112" t="s">
        <v>269</v>
      </c>
      <c r="F295" s="73">
        <v>320</v>
      </c>
      <c r="G295" s="29">
        <f>700000+687287.93-89999.99</f>
        <v>1297287.9400000002</v>
      </c>
      <c r="H295" s="29">
        <v>1297287.94</v>
      </c>
      <c r="I295" s="115">
        <v>1297287.94</v>
      </c>
      <c r="J295" s="115">
        <f t="shared" si="152"/>
        <v>100</v>
      </c>
    </row>
    <row r="296" spans="1:10">
      <c r="A296" s="182">
        <v>284</v>
      </c>
      <c r="B296" s="33" t="s">
        <v>57</v>
      </c>
      <c r="C296" s="40" t="s">
        <v>151</v>
      </c>
      <c r="D296" s="175" t="s">
        <v>164</v>
      </c>
      <c r="E296" s="112"/>
      <c r="F296" s="170"/>
      <c r="G296" s="29">
        <f t="shared" ref="G296:I296" si="161">G297</f>
        <v>4872500</v>
      </c>
      <c r="H296" s="29">
        <f t="shared" si="161"/>
        <v>4872500</v>
      </c>
      <c r="I296" s="29">
        <f t="shared" si="161"/>
        <v>1120875</v>
      </c>
      <c r="J296" s="115">
        <f t="shared" si="152"/>
        <v>23.004104669061057</v>
      </c>
    </row>
    <row r="297" spans="1:10" ht="30">
      <c r="A297" s="182">
        <v>285</v>
      </c>
      <c r="B297" s="122" t="s">
        <v>56</v>
      </c>
      <c r="C297" s="40" t="s">
        <v>151</v>
      </c>
      <c r="D297" s="175" t="s">
        <v>164</v>
      </c>
      <c r="E297" s="112">
        <v>1100000000</v>
      </c>
      <c r="F297" s="170"/>
      <c r="G297" s="29">
        <f t="shared" ref="G297:I300" si="162">G298</f>
        <v>4872500</v>
      </c>
      <c r="H297" s="29">
        <f t="shared" si="162"/>
        <v>4872500</v>
      </c>
      <c r="I297" s="29">
        <f t="shared" si="162"/>
        <v>1120875</v>
      </c>
      <c r="J297" s="115">
        <f t="shared" si="152"/>
        <v>23.004104669061057</v>
      </c>
    </row>
    <row r="298" spans="1:10" ht="30">
      <c r="A298" s="182">
        <v>286</v>
      </c>
      <c r="B298" s="171" t="s">
        <v>152</v>
      </c>
      <c r="C298" s="40" t="s">
        <v>151</v>
      </c>
      <c r="D298" s="175" t="s">
        <v>164</v>
      </c>
      <c r="E298" s="112">
        <v>1150000000</v>
      </c>
      <c r="F298" s="170"/>
      <c r="G298" s="29">
        <f t="shared" si="162"/>
        <v>4872500</v>
      </c>
      <c r="H298" s="29">
        <f t="shared" si="162"/>
        <v>4872500</v>
      </c>
      <c r="I298" s="29">
        <f t="shared" si="162"/>
        <v>1120875</v>
      </c>
      <c r="J298" s="115">
        <f t="shared" si="152"/>
        <v>23.004104669061057</v>
      </c>
    </row>
    <row r="299" spans="1:10" ht="45">
      <c r="A299" s="182">
        <v>287</v>
      </c>
      <c r="B299" s="171" t="s">
        <v>377</v>
      </c>
      <c r="C299" s="40" t="s">
        <v>151</v>
      </c>
      <c r="D299" s="175" t="s">
        <v>164</v>
      </c>
      <c r="E299" s="112">
        <v>1150075870</v>
      </c>
      <c r="F299" s="170"/>
      <c r="G299" s="29">
        <f t="shared" si="162"/>
        <v>4872500</v>
      </c>
      <c r="H299" s="29">
        <f t="shared" si="162"/>
        <v>4872500</v>
      </c>
      <c r="I299" s="29">
        <f t="shared" si="162"/>
        <v>1120875</v>
      </c>
      <c r="J299" s="115">
        <f t="shared" si="152"/>
        <v>23.004104669061057</v>
      </c>
    </row>
    <row r="300" spans="1:10" ht="30">
      <c r="A300" s="182">
        <v>288</v>
      </c>
      <c r="B300" s="177" t="s">
        <v>153</v>
      </c>
      <c r="C300" s="40" t="s">
        <v>151</v>
      </c>
      <c r="D300" s="175" t="s">
        <v>164</v>
      </c>
      <c r="E300" s="112">
        <v>1150075870</v>
      </c>
      <c r="F300" s="170">
        <v>400</v>
      </c>
      <c r="G300" s="29">
        <f t="shared" si="162"/>
        <v>4872500</v>
      </c>
      <c r="H300" s="29">
        <f t="shared" si="162"/>
        <v>4872500</v>
      </c>
      <c r="I300" s="29">
        <f t="shared" si="162"/>
        <v>1120875</v>
      </c>
      <c r="J300" s="115">
        <f t="shared" si="152"/>
        <v>23.004104669061057</v>
      </c>
    </row>
    <row r="301" spans="1:10">
      <c r="A301" s="182">
        <v>289</v>
      </c>
      <c r="B301" s="177" t="s">
        <v>154</v>
      </c>
      <c r="C301" s="40" t="s">
        <v>151</v>
      </c>
      <c r="D301" s="175" t="s">
        <v>164</v>
      </c>
      <c r="E301" s="112">
        <v>1150075870</v>
      </c>
      <c r="F301" s="170">
        <v>410</v>
      </c>
      <c r="G301" s="29">
        <v>4872500</v>
      </c>
      <c r="H301" s="29">
        <v>4872500</v>
      </c>
      <c r="I301" s="115">
        <v>1120875</v>
      </c>
      <c r="J301" s="115">
        <f t="shared" si="152"/>
        <v>23.004104669061057</v>
      </c>
    </row>
    <row r="302" spans="1:10" ht="15.75">
      <c r="A302" s="182">
        <v>290</v>
      </c>
      <c r="B302" s="93" t="s">
        <v>78</v>
      </c>
      <c r="C302" s="40" t="s">
        <v>151</v>
      </c>
      <c r="D302" s="175" t="s">
        <v>127</v>
      </c>
      <c r="E302" s="112"/>
      <c r="F302" s="170"/>
      <c r="G302" s="29">
        <f>G303+G315+G325</f>
        <v>1466619.6099999999</v>
      </c>
      <c r="H302" s="29">
        <f t="shared" ref="H302:I302" si="163">H303+H315+H325</f>
        <v>1466619.6099999999</v>
      </c>
      <c r="I302" s="29">
        <f t="shared" si="163"/>
        <v>1275311.8400000001</v>
      </c>
      <c r="J302" s="115">
        <f t="shared" si="152"/>
        <v>86.955869900034969</v>
      </c>
    </row>
    <row r="303" spans="1:10">
      <c r="A303" s="182">
        <v>291</v>
      </c>
      <c r="B303" s="177" t="s">
        <v>253</v>
      </c>
      <c r="C303" s="40" t="s">
        <v>151</v>
      </c>
      <c r="D303" s="175" t="s">
        <v>127</v>
      </c>
      <c r="E303" s="112">
        <v>8500000000</v>
      </c>
      <c r="F303" s="170"/>
      <c r="G303" s="29">
        <f t="shared" ref="G303:I303" si="164">G304</f>
        <v>1122900</v>
      </c>
      <c r="H303" s="29">
        <f t="shared" si="164"/>
        <v>1122900</v>
      </c>
      <c r="I303" s="29">
        <f t="shared" si="164"/>
        <v>1000754.23</v>
      </c>
      <c r="J303" s="115">
        <f t="shared" si="152"/>
        <v>89.122293169471902</v>
      </c>
    </row>
    <row r="304" spans="1:10">
      <c r="A304" s="182">
        <v>292</v>
      </c>
      <c r="B304" s="177" t="s">
        <v>254</v>
      </c>
      <c r="C304" s="40" t="s">
        <v>151</v>
      </c>
      <c r="D304" s="175" t="s">
        <v>127</v>
      </c>
      <c r="E304" s="112">
        <v>8510000000</v>
      </c>
      <c r="F304" s="170"/>
      <c r="G304" s="29">
        <f t="shared" ref="G304:I304" si="165">G305+G310</f>
        <v>1122900</v>
      </c>
      <c r="H304" s="29">
        <f t="shared" si="165"/>
        <v>1122900</v>
      </c>
      <c r="I304" s="29">
        <f t="shared" si="165"/>
        <v>1000754.23</v>
      </c>
      <c r="J304" s="115">
        <f t="shared" si="152"/>
        <v>89.122293169471902</v>
      </c>
    </row>
    <row r="305" spans="1:10" ht="30">
      <c r="A305" s="182">
        <v>293</v>
      </c>
      <c r="B305" s="171" t="s">
        <v>385</v>
      </c>
      <c r="C305" s="40" t="s">
        <v>151</v>
      </c>
      <c r="D305" s="175" t="s">
        <v>127</v>
      </c>
      <c r="E305" s="112">
        <v>8510002890</v>
      </c>
      <c r="F305" s="170"/>
      <c r="G305" s="29">
        <f t="shared" ref="G305:H305" si="166">G306+G308</f>
        <v>1071400</v>
      </c>
      <c r="H305" s="29">
        <f t="shared" si="166"/>
        <v>1071400</v>
      </c>
      <c r="I305" s="29">
        <f t="shared" ref="I305" si="167">I306+I308</f>
        <v>958884.7</v>
      </c>
      <c r="J305" s="115">
        <f t="shared" si="152"/>
        <v>89.498291954452114</v>
      </c>
    </row>
    <row r="306" spans="1:10" ht="45">
      <c r="A306" s="182">
        <v>294</v>
      </c>
      <c r="B306" s="176" t="s">
        <v>14</v>
      </c>
      <c r="C306" s="40" t="s">
        <v>151</v>
      </c>
      <c r="D306" s="175" t="s">
        <v>127</v>
      </c>
      <c r="E306" s="112">
        <v>8510002890</v>
      </c>
      <c r="F306" s="170">
        <v>100</v>
      </c>
      <c r="G306" s="29">
        <f t="shared" ref="G306:I306" si="168">G307</f>
        <v>929966.23</v>
      </c>
      <c r="H306" s="29">
        <f t="shared" si="168"/>
        <v>929966.23</v>
      </c>
      <c r="I306" s="29">
        <f t="shared" si="168"/>
        <v>928884.7</v>
      </c>
      <c r="J306" s="115">
        <f t="shared" si="152"/>
        <v>99.883702228628238</v>
      </c>
    </row>
    <row r="307" spans="1:10">
      <c r="A307" s="182">
        <v>295</v>
      </c>
      <c r="B307" s="176" t="s">
        <v>15</v>
      </c>
      <c r="C307" s="40" t="s">
        <v>151</v>
      </c>
      <c r="D307" s="175" t="s">
        <v>127</v>
      </c>
      <c r="E307" s="112">
        <v>8510002890</v>
      </c>
      <c r="F307" s="170">
        <v>120</v>
      </c>
      <c r="G307" s="29">
        <f>901566.23+28400</f>
        <v>929966.23</v>
      </c>
      <c r="H307" s="29">
        <v>929966.23</v>
      </c>
      <c r="I307" s="115">
        <v>928884.7</v>
      </c>
      <c r="J307" s="115">
        <f t="shared" si="152"/>
        <v>99.883702228628238</v>
      </c>
    </row>
    <row r="308" spans="1:10">
      <c r="A308" s="182">
        <v>296</v>
      </c>
      <c r="B308" s="176" t="s">
        <v>19</v>
      </c>
      <c r="C308" s="40" t="s">
        <v>151</v>
      </c>
      <c r="D308" s="175" t="s">
        <v>127</v>
      </c>
      <c r="E308" s="112">
        <v>8510002890</v>
      </c>
      <c r="F308" s="170">
        <v>200</v>
      </c>
      <c r="G308" s="29">
        <f t="shared" ref="G308:I308" si="169">G309</f>
        <v>141433.76999999999</v>
      </c>
      <c r="H308" s="29">
        <f t="shared" si="169"/>
        <v>141433.76999999999</v>
      </c>
      <c r="I308" s="29">
        <f t="shared" si="169"/>
        <v>30000</v>
      </c>
      <c r="J308" s="115">
        <f t="shared" si="152"/>
        <v>21.211341534627834</v>
      </c>
    </row>
    <row r="309" spans="1:10">
      <c r="A309" s="182">
        <v>297</v>
      </c>
      <c r="B309" s="176" t="s">
        <v>20</v>
      </c>
      <c r="C309" s="40" t="s">
        <v>151</v>
      </c>
      <c r="D309" s="175" t="s">
        <v>127</v>
      </c>
      <c r="E309" s="112">
        <v>8510002890</v>
      </c>
      <c r="F309" s="170">
        <v>240</v>
      </c>
      <c r="G309" s="29">
        <v>141433.76999999999</v>
      </c>
      <c r="H309" s="29">
        <v>141433.76999999999</v>
      </c>
      <c r="I309" s="115">
        <v>30000</v>
      </c>
      <c r="J309" s="115">
        <f t="shared" si="152"/>
        <v>21.211341534627834</v>
      </c>
    </row>
    <row r="310" spans="1:10" ht="84" customHeight="1">
      <c r="A310" s="182">
        <v>298</v>
      </c>
      <c r="B310" s="176" t="s">
        <v>458</v>
      </c>
      <c r="C310" s="40" t="s">
        <v>151</v>
      </c>
      <c r="D310" s="175" t="s">
        <v>127</v>
      </c>
      <c r="E310" s="112">
        <v>8510078460</v>
      </c>
      <c r="F310" s="170"/>
      <c r="G310" s="29">
        <f>G311+G313</f>
        <v>51500</v>
      </c>
      <c r="H310" s="29">
        <f t="shared" ref="H310:I310" si="170">H311+H313</f>
        <v>51500</v>
      </c>
      <c r="I310" s="29">
        <f t="shared" si="170"/>
        <v>41869.53</v>
      </c>
      <c r="J310" s="115">
        <f t="shared" si="152"/>
        <v>81.300058252427192</v>
      </c>
    </row>
    <row r="311" spans="1:10" ht="45">
      <c r="A311" s="182">
        <v>299</v>
      </c>
      <c r="B311" s="176" t="s">
        <v>14</v>
      </c>
      <c r="C311" s="40" t="s">
        <v>151</v>
      </c>
      <c r="D311" s="175" t="s">
        <v>127</v>
      </c>
      <c r="E311" s="112">
        <v>8510078460</v>
      </c>
      <c r="F311" s="170">
        <v>100</v>
      </c>
      <c r="G311" s="29">
        <f>G312</f>
        <v>50184.58</v>
      </c>
      <c r="H311" s="29">
        <f t="shared" ref="H311:I311" si="171">H312</f>
        <v>50184.58</v>
      </c>
      <c r="I311" s="29">
        <f t="shared" si="171"/>
        <v>41869.53</v>
      </c>
      <c r="J311" s="115">
        <f t="shared" si="152"/>
        <v>83.431065877207701</v>
      </c>
    </row>
    <row r="312" spans="1:10">
      <c r="A312" s="182">
        <v>300</v>
      </c>
      <c r="B312" s="176" t="s">
        <v>15</v>
      </c>
      <c r="C312" s="40" t="s">
        <v>151</v>
      </c>
      <c r="D312" s="175" t="s">
        <v>127</v>
      </c>
      <c r="E312" s="112">
        <v>8510078460</v>
      </c>
      <c r="F312" s="170">
        <v>120</v>
      </c>
      <c r="G312" s="29">
        <f>48684.58+1500</f>
        <v>50184.58</v>
      </c>
      <c r="H312" s="29">
        <v>50184.58</v>
      </c>
      <c r="I312" s="115">
        <v>41869.53</v>
      </c>
      <c r="J312" s="115">
        <f t="shared" si="152"/>
        <v>83.431065877207701</v>
      </c>
    </row>
    <row r="313" spans="1:10">
      <c r="A313" s="182">
        <v>301</v>
      </c>
      <c r="B313" s="176" t="s">
        <v>19</v>
      </c>
      <c r="C313" s="40" t="s">
        <v>151</v>
      </c>
      <c r="D313" s="175" t="s">
        <v>127</v>
      </c>
      <c r="E313" s="112">
        <v>8510078460</v>
      </c>
      <c r="F313" s="170">
        <v>200</v>
      </c>
      <c r="G313" s="29">
        <f>G314</f>
        <v>1315.42</v>
      </c>
      <c r="H313" s="29">
        <f t="shared" ref="H313:I313" si="172">H314</f>
        <v>1315.42</v>
      </c>
      <c r="I313" s="29">
        <f t="shared" si="172"/>
        <v>0</v>
      </c>
      <c r="J313" s="115">
        <f t="shared" si="152"/>
        <v>0</v>
      </c>
    </row>
    <row r="314" spans="1:10">
      <c r="A314" s="182">
        <v>302</v>
      </c>
      <c r="B314" s="176" t="s">
        <v>20</v>
      </c>
      <c r="C314" s="40" t="s">
        <v>151</v>
      </c>
      <c r="D314" s="175" t="s">
        <v>127</v>
      </c>
      <c r="E314" s="112">
        <v>8510078460</v>
      </c>
      <c r="F314" s="170">
        <v>240</v>
      </c>
      <c r="G314" s="29">
        <v>1315.42</v>
      </c>
      <c r="H314" s="29">
        <v>1315.42</v>
      </c>
      <c r="I314" s="115">
        <v>0</v>
      </c>
      <c r="J314" s="115">
        <f t="shared" si="152"/>
        <v>0</v>
      </c>
    </row>
    <row r="315" spans="1:10">
      <c r="A315" s="182">
        <v>303</v>
      </c>
      <c r="B315" s="51" t="s">
        <v>306</v>
      </c>
      <c r="C315" s="40" t="s">
        <v>151</v>
      </c>
      <c r="D315" s="175" t="s">
        <v>127</v>
      </c>
      <c r="E315" s="34" t="s">
        <v>176</v>
      </c>
      <c r="F315" s="170"/>
      <c r="G315" s="29">
        <f t="shared" ref="G315:I315" si="173">G316</f>
        <v>189040</v>
      </c>
      <c r="H315" s="29">
        <f t="shared" si="173"/>
        <v>189040</v>
      </c>
      <c r="I315" s="29">
        <f t="shared" si="173"/>
        <v>139040</v>
      </c>
      <c r="J315" s="115">
        <f t="shared" si="152"/>
        <v>73.550571307659752</v>
      </c>
    </row>
    <row r="316" spans="1:10">
      <c r="A316" s="182">
        <v>304</v>
      </c>
      <c r="B316" s="51" t="s">
        <v>387</v>
      </c>
      <c r="C316" s="40" t="s">
        <v>151</v>
      </c>
      <c r="D316" s="175" t="s">
        <v>127</v>
      </c>
      <c r="E316" s="34" t="s">
        <v>382</v>
      </c>
      <c r="F316" s="170"/>
      <c r="G316" s="29">
        <f t="shared" ref="G316:H316" si="174">G317+G320</f>
        <v>189040</v>
      </c>
      <c r="H316" s="29">
        <f t="shared" si="174"/>
        <v>189040</v>
      </c>
      <c r="I316" s="29">
        <f t="shared" ref="I316" si="175">I317+I320</f>
        <v>139040</v>
      </c>
      <c r="J316" s="115">
        <f t="shared" si="152"/>
        <v>73.550571307659752</v>
      </c>
    </row>
    <row r="317" spans="1:10" ht="45">
      <c r="A317" s="182">
        <v>305</v>
      </c>
      <c r="B317" s="189" t="s">
        <v>395</v>
      </c>
      <c r="C317" s="40" t="s">
        <v>151</v>
      </c>
      <c r="D317" s="175" t="s">
        <v>127</v>
      </c>
      <c r="E317" s="34" t="s">
        <v>391</v>
      </c>
      <c r="F317" s="170"/>
      <c r="G317" s="29">
        <f t="shared" ref="G317:I317" si="176">G318</f>
        <v>95000</v>
      </c>
      <c r="H317" s="29">
        <f t="shared" si="176"/>
        <v>95000</v>
      </c>
      <c r="I317" s="29">
        <f t="shared" si="176"/>
        <v>45000</v>
      </c>
      <c r="J317" s="115">
        <f t="shared" si="152"/>
        <v>47.368421052631575</v>
      </c>
    </row>
    <row r="318" spans="1:10">
      <c r="A318" s="182">
        <v>306</v>
      </c>
      <c r="B318" s="171" t="s">
        <v>145</v>
      </c>
      <c r="C318" s="40" t="s">
        <v>151</v>
      </c>
      <c r="D318" s="175" t="s">
        <v>127</v>
      </c>
      <c r="E318" s="34" t="s">
        <v>391</v>
      </c>
      <c r="F318" s="73">
        <v>300</v>
      </c>
      <c r="G318" s="29">
        <f t="shared" ref="G318:I318" si="177">G319</f>
        <v>95000</v>
      </c>
      <c r="H318" s="29">
        <f t="shared" si="177"/>
        <v>95000</v>
      </c>
      <c r="I318" s="29">
        <f t="shared" si="177"/>
        <v>45000</v>
      </c>
      <c r="J318" s="115">
        <f t="shared" si="152"/>
        <v>47.368421052631575</v>
      </c>
    </row>
    <row r="319" spans="1:10">
      <c r="A319" s="182">
        <v>307</v>
      </c>
      <c r="B319" s="51" t="s">
        <v>390</v>
      </c>
      <c r="C319" s="40" t="s">
        <v>151</v>
      </c>
      <c r="D319" s="175" t="s">
        <v>127</v>
      </c>
      <c r="E319" s="34" t="s">
        <v>391</v>
      </c>
      <c r="F319" s="73">
        <v>310</v>
      </c>
      <c r="G319" s="29">
        <f>500000-200000-205000</f>
        <v>95000</v>
      </c>
      <c r="H319" s="29">
        <v>95000</v>
      </c>
      <c r="I319" s="115">
        <v>45000</v>
      </c>
      <c r="J319" s="115">
        <f t="shared" si="152"/>
        <v>47.368421052631575</v>
      </c>
    </row>
    <row r="320" spans="1:10" ht="35.25" customHeight="1">
      <c r="A320" s="182">
        <v>308</v>
      </c>
      <c r="B320" s="177" t="s">
        <v>392</v>
      </c>
      <c r="C320" s="40" t="s">
        <v>151</v>
      </c>
      <c r="D320" s="175" t="s">
        <v>127</v>
      </c>
      <c r="E320" s="34" t="s">
        <v>393</v>
      </c>
      <c r="F320" s="170"/>
      <c r="G320" s="29">
        <f t="shared" ref="G320:H320" si="178">G321+G323</f>
        <v>94040</v>
      </c>
      <c r="H320" s="29">
        <f t="shared" si="178"/>
        <v>94040</v>
      </c>
      <c r="I320" s="29">
        <f t="shared" ref="I320" si="179">I321+I323</f>
        <v>94040</v>
      </c>
      <c r="J320" s="115">
        <f t="shared" si="152"/>
        <v>100</v>
      </c>
    </row>
    <row r="321" spans="1:10" ht="21" customHeight="1">
      <c r="A321" s="182">
        <v>309</v>
      </c>
      <c r="B321" s="171" t="s">
        <v>145</v>
      </c>
      <c r="C321" s="40" t="s">
        <v>151</v>
      </c>
      <c r="D321" s="175" t="s">
        <v>127</v>
      </c>
      <c r="E321" s="34" t="s">
        <v>393</v>
      </c>
      <c r="F321" s="170">
        <v>300</v>
      </c>
      <c r="G321" s="29">
        <f t="shared" ref="G321:I321" si="180">G322</f>
        <v>87400</v>
      </c>
      <c r="H321" s="29">
        <f t="shared" si="180"/>
        <v>87400</v>
      </c>
      <c r="I321" s="29">
        <f t="shared" si="180"/>
        <v>87400</v>
      </c>
      <c r="J321" s="115">
        <f t="shared" si="152"/>
        <v>100</v>
      </c>
    </row>
    <row r="322" spans="1:10">
      <c r="A322" s="182">
        <v>310</v>
      </c>
      <c r="B322" s="51" t="s">
        <v>80</v>
      </c>
      <c r="C322" s="40" t="s">
        <v>151</v>
      </c>
      <c r="D322" s="175" t="s">
        <v>127</v>
      </c>
      <c r="E322" s="34" t="s">
        <v>393</v>
      </c>
      <c r="F322" s="170">
        <v>320</v>
      </c>
      <c r="G322" s="29">
        <f>92000-4600</f>
        <v>87400</v>
      </c>
      <c r="H322" s="29">
        <v>87400</v>
      </c>
      <c r="I322" s="29">
        <v>87400</v>
      </c>
      <c r="J322" s="115">
        <f t="shared" si="152"/>
        <v>100</v>
      </c>
    </row>
    <row r="323" spans="1:10">
      <c r="A323" s="182">
        <v>311</v>
      </c>
      <c r="B323" s="176" t="s">
        <v>19</v>
      </c>
      <c r="C323" s="40" t="s">
        <v>151</v>
      </c>
      <c r="D323" s="175" t="s">
        <v>127</v>
      </c>
      <c r="E323" s="34" t="s">
        <v>393</v>
      </c>
      <c r="F323" s="170">
        <v>200</v>
      </c>
      <c r="G323" s="29">
        <f t="shared" ref="G323:I323" si="181">G324</f>
        <v>6640</v>
      </c>
      <c r="H323" s="29">
        <f t="shared" si="181"/>
        <v>6640</v>
      </c>
      <c r="I323" s="29">
        <f t="shared" si="181"/>
        <v>6640</v>
      </c>
      <c r="J323" s="115">
        <f t="shared" si="152"/>
        <v>100</v>
      </c>
    </row>
    <row r="324" spans="1:10">
      <c r="A324" s="182">
        <v>312</v>
      </c>
      <c r="B324" s="176" t="s">
        <v>20</v>
      </c>
      <c r="C324" s="40" t="s">
        <v>151</v>
      </c>
      <c r="D324" s="175" t="s">
        <v>127</v>
      </c>
      <c r="E324" s="34" t="s">
        <v>393</v>
      </c>
      <c r="F324" s="170">
        <v>240</v>
      </c>
      <c r="G324" s="29">
        <f>15000-8360</f>
        <v>6640</v>
      </c>
      <c r="H324" s="29">
        <v>6640</v>
      </c>
      <c r="I324" s="115">
        <v>6640</v>
      </c>
      <c r="J324" s="115">
        <f t="shared" si="152"/>
        <v>100</v>
      </c>
    </row>
    <row r="325" spans="1:10" ht="30">
      <c r="A325" s="182">
        <v>313</v>
      </c>
      <c r="B325" s="122" t="s">
        <v>56</v>
      </c>
      <c r="C325" s="40" t="s">
        <v>151</v>
      </c>
      <c r="D325" s="175" t="s">
        <v>127</v>
      </c>
      <c r="E325" s="34" t="s">
        <v>472</v>
      </c>
      <c r="F325" s="170"/>
      <c r="G325" s="29">
        <f>G326</f>
        <v>154679.60999999999</v>
      </c>
      <c r="H325" s="29">
        <f t="shared" ref="H325:I325" si="182">H326</f>
        <v>154679.60999999999</v>
      </c>
      <c r="I325" s="29">
        <f t="shared" si="182"/>
        <v>135517.61000000002</v>
      </c>
      <c r="J325" s="115">
        <f t="shared" si="152"/>
        <v>87.6118125718057</v>
      </c>
    </row>
    <row r="326" spans="1:10" ht="30">
      <c r="A326" s="182">
        <v>314</v>
      </c>
      <c r="B326" s="171" t="s">
        <v>152</v>
      </c>
      <c r="C326" s="40" t="s">
        <v>151</v>
      </c>
      <c r="D326" s="175" t="s">
        <v>127</v>
      </c>
      <c r="E326" s="34" t="s">
        <v>473</v>
      </c>
      <c r="F326" s="170"/>
      <c r="G326" s="29">
        <f>G327</f>
        <v>154679.60999999999</v>
      </c>
      <c r="H326" s="29">
        <f t="shared" ref="H326:I326" si="183">H327</f>
        <v>154679.60999999999</v>
      </c>
      <c r="I326" s="29">
        <f t="shared" si="183"/>
        <v>135517.61000000002</v>
      </c>
      <c r="J326" s="115">
        <f t="shared" si="152"/>
        <v>87.6118125718057</v>
      </c>
    </row>
    <row r="327" spans="1:10" ht="45">
      <c r="A327" s="182">
        <v>315</v>
      </c>
      <c r="B327" s="171" t="s">
        <v>377</v>
      </c>
      <c r="C327" s="40" t="s">
        <v>151</v>
      </c>
      <c r="D327" s="175" t="s">
        <v>127</v>
      </c>
      <c r="E327" s="34" t="s">
        <v>474</v>
      </c>
      <c r="F327" s="170"/>
      <c r="G327" s="29">
        <f>G328+G330</f>
        <v>154679.60999999999</v>
      </c>
      <c r="H327" s="29">
        <f t="shared" ref="H327:I327" si="184">H328+H330</f>
        <v>154679.60999999999</v>
      </c>
      <c r="I327" s="29">
        <f t="shared" si="184"/>
        <v>135517.61000000002</v>
      </c>
      <c r="J327" s="115">
        <f t="shared" si="152"/>
        <v>87.6118125718057</v>
      </c>
    </row>
    <row r="328" spans="1:10" ht="45">
      <c r="A328" s="182">
        <v>316</v>
      </c>
      <c r="B328" s="176" t="s">
        <v>14</v>
      </c>
      <c r="C328" s="40" t="s">
        <v>151</v>
      </c>
      <c r="D328" s="175" t="s">
        <v>127</v>
      </c>
      <c r="E328" s="34" t="s">
        <v>474</v>
      </c>
      <c r="F328" s="170">
        <v>100</v>
      </c>
      <c r="G328" s="29">
        <f>G329</f>
        <v>149964.01999999999</v>
      </c>
      <c r="H328" s="29">
        <f t="shared" ref="H328:I328" si="185">H329</f>
        <v>149964.01999999999</v>
      </c>
      <c r="I328" s="29">
        <f t="shared" si="185"/>
        <v>130802.02</v>
      </c>
      <c r="J328" s="115">
        <f t="shared" si="152"/>
        <v>87.222268381442433</v>
      </c>
    </row>
    <row r="329" spans="1:10">
      <c r="A329" s="182">
        <v>317</v>
      </c>
      <c r="B329" s="176" t="s">
        <v>15</v>
      </c>
      <c r="C329" s="40" t="s">
        <v>151</v>
      </c>
      <c r="D329" s="175" t="s">
        <v>127</v>
      </c>
      <c r="E329" s="34" t="s">
        <v>474</v>
      </c>
      <c r="F329" s="170">
        <v>120</v>
      </c>
      <c r="G329" s="29">
        <f>145384.41+4579.61</f>
        <v>149964.01999999999</v>
      </c>
      <c r="H329" s="29">
        <v>149964.01999999999</v>
      </c>
      <c r="I329" s="115">
        <v>130802.02</v>
      </c>
      <c r="J329" s="115">
        <f t="shared" si="152"/>
        <v>87.222268381442433</v>
      </c>
    </row>
    <row r="330" spans="1:10">
      <c r="A330" s="182">
        <v>318</v>
      </c>
      <c r="B330" s="176" t="s">
        <v>19</v>
      </c>
      <c r="C330" s="40" t="s">
        <v>151</v>
      </c>
      <c r="D330" s="175" t="s">
        <v>127</v>
      </c>
      <c r="E330" s="34" t="s">
        <v>474</v>
      </c>
      <c r="F330" s="170">
        <v>200</v>
      </c>
      <c r="G330" s="29">
        <f>G331</f>
        <v>4715.59</v>
      </c>
      <c r="H330" s="29">
        <f t="shared" ref="H330:I330" si="186">H331</f>
        <v>4715.59</v>
      </c>
      <c r="I330" s="29">
        <f t="shared" si="186"/>
        <v>4715.59</v>
      </c>
      <c r="J330" s="115">
        <f t="shared" si="152"/>
        <v>100</v>
      </c>
    </row>
    <row r="331" spans="1:10">
      <c r="A331" s="182">
        <v>319</v>
      </c>
      <c r="B331" s="176" t="s">
        <v>20</v>
      </c>
      <c r="C331" s="40" t="s">
        <v>151</v>
      </c>
      <c r="D331" s="175" t="s">
        <v>127</v>
      </c>
      <c r="E331" s="34" t="s">
        <v>474</v>
      </c>
      <c r="F331" s="170">
        <v>240</v>
      </c>
      <c r="G331" s="29">
        <v>4715.59</v>
      </c>
      <c r="H331" s="29">
        <v>4715.59</v>
      </c>
      <c r="I331" s="115">
        <v>4715.59</v>
      </c>
      <c r="J331" s="115">
        <f t="shared" si="152"/>
        <v>100</v>
      </c>
    </row>
    <row r="332" spans="1:10" ht="36" customHeight="1">
      <c r="A332" s="182">
        <v>320</v>
      </c>
      <c r="B332" s="50" t="s">
        <v>230</v>
      </c>
      <c r="C332" s="47" t="s">
        <v>151</v>
      </c>
      <c r="D332" s="43"/>
      <c r="E332" s="125"/>
      <c r="F332" s="43"/>
      <c r="G332" s="44">
        <f t="shared" ref="G332:I335" si="187">G333</f>
        <v>6736441.8799999999</v>
      </c>
      <c r="H332" s="44">
        <f t="shared" si="187"/>
        <v>6736441.8799999999</v>
      </c>
      <c r="I332" s="44">
        <f t="shared" si="187"/>
        <v>6712134.2700000005</v>
      </c>
      <c r="J332" s="190">
        <f t="shared" si="152"/>
        <v>99.639162477269096</v>
      </c>
    </row>
    <row r="333" spans="1:10">
      <c r="A333" s="182">
        <v>321</v>
      </c>
      <c r="B333" s="67" t="s">
        <v>97</v>
      </c>
      <c r="C333" s="34" t="s">
        <v>151</v>
      </c>
      <c r="D333" s="40" t="s">
        <v>98</v>
      </c>
      <c r="E333" s="112"/>
      <c r="F333" s="73"/>
      <c r="G333" s="29">
        <f t="shared" si="187"/>
        <v>6736441.8799999999</v>
      </c>
      <c r="H333" s="29">
        <f t="shared" si="187"/>
        <v>6736441.8799999999</v>
      </c>
      <c r="I333" s="29">
        <f t="shared" si="187"/>
        <v>6712134.2700000005</v>
      </c>
      <c r="J333" s="115">
        <f t="shared" si="152"/>
        <v>99.639162477269096</v>
      </c>
    </row>
    <row r="334" spans="1:10" ht="30">
      <c r="A334" s="182">
        <v>322</v>
      </c>
      <c r="B334" s="176" t="s">
        <v>73</v>
      </c>
      <c r="C334" s="34" t="s">
        <v>151</v>
      </c>
      <c r="D334" s="40" t="s">
        <v>378</v>
      </c>
      <c r="E334" s="112"/>
      <c r="F334" s="73"/>
      <c r="G334" s="29">
        <f t="shared" si="187"/>
        <v>6736441.8799999999</v>
      </c>
      <c r="H334" s="29">
        <f t="shared" si="187"/>
        <v>6736441.8799999999</v>
      </c>
      <c r="I334" s="29">
        <f t="shared" si="187"/>
        <v>6712134.2700000005</v>
      </c>
      <c r="J334" s="115">
        <f t="shared" si="152"/>
        <v>99.639162477269096</v>
      </c>
    </row>
    <row r="335" spans="1:10" ht="30">
      <c r="A335" s="182">
        <v>323</v>
      </c>
      <c r="B335" s="171" t="s">
        <v>146</v>
      </c>
      <c r="C335" s="34" t="s">
        <v>151</v>
      </c>
      <c r="D335" s="40" t="s">
        <v>378</v>
      </c>
      <c r="E335" s="34" t="s">
        <v>185</v>
      </c>
      <c r="F335" s="73"/>
      <c r="G335" s="29">
        <f t="shared" si="187"/>
        <v>6736441.8799999999</v>
      </c>
      <c r="H335" s="29">
        <f t="shared" si="187"/>
        <v>6736441.8799999999</v>
      </c>
      <c r="I335" s="29">
        <f t="shared" si="187"/>
        <v>6712134.2700000005</v>
      </c>
      <c r="J335" s="115">
        <f t="shared" ref="J335:J398" si="188">I335/H335*100</f>
        <v>99.639162477269096</v>
      </c>
    </row>
    <row r="336" spans="1:10" ht="30">
      <c r="A336" s="182">
        <v>324</v>
      </c>
      <c r="B336" s="68" t="s">
        <v>292</v>
      </c>
      <c r="C336" s="34" t="s">
        <v>151</v>
      </c>
      <c r="D336" s="40" t="s">
        <v>378</v>
      </c>
      <c r="E336" s="34" t="s">
        <v>186</v>
      </c>
      <c r="F336" s="73"/>
      <c r="G336" s="29">
        <f>G337+G344</f>
        <v>6736441.8799999999</v>
      </c>
      <c r="H336" s="29">
        <f t="shared" ref="H336:I336" si="189">H337+H344</f>
        <v>6736441.8799999999</v>
      </c>
      <c r="I336" s="29">
        <f t="shared" si="189"/>
        <v>6712134.2700000005</v>
      </c>
      <c r="J336" s="115">
        <f t="shared" si="188"/>
        <v>99.639162477269096</v>
      </c>
    </row>
    <row r="337" spans="1:13" ht="60">
      <c r="A337" s="182">
        <v>325</v>
      </c>
      <c r="B337" s="171" t="s">
        <v>329</v>
      </c>
      <c r="C337" s="34" t="s">
        <v>151</v>
      </c>
      <c r="D337" s="40" t="s">
        <v>378</v>
      </c>
      <c r="E337" s="34" t="s">
        <v>286</v>
      </c>
      <c r="F337" s="73"/>
      <c r="G337" s="29">
        <f t="shared" ref="G337:I337" si="190">G338+G340+G342</f>
        <v>6644441.8799999999</v>
      </c>
      <c r="H337" s="29">
        <f t="shared" si="190"/>
        <v>6644441.8799999999</v>
      </c>
      <c r="I337" s="29">
        <f t="shared" si="190"/>
        <v>6623134.2700000005</v>
      </c>
      <c r="J337" s="115">
        <f t="shared" si="188"/>
        <v>99.679316782585815</v>
      </c>
    </row>
    <row r="338" spans="1:13" ht="45">
      <c r="A338" s="182">
        <v>326</v>
      </c>
      <c r="B338" s="176" t="s">
        <v>14</v>
      </c>
      <c r="C338" s="34" t="s">
        <v>151</v>
      </c>
      <c r="D338" s="40" t="s">
        <v>378</v>
      </c>
      <c r="E338" s="34" t="s">
        <v>286</v>
      </c>
      <c r="F338" s="73">
        <v>100</v>
      </c>
      <c r="G338" s="29">
        <f t="shared" ref="G338:I338" si="191">G339</f>
        <v>5794060.8799999999</v>
      </c>
      <c r="H338" s="29">
        <f t="shared" si="191"/>
        <v>5794060.8799999999</v>
      </c>
      <c r="I338" s="29">
        <f t="shared" si="191"/>
        <v>5776972.1900000004</v>
      </c>
      <c r="J338" s="115">
        <f t="shared" si="188"/>
        <v>99.705065404835722</v>
      </c>
    </row>
    <row r="339" spans="1:13">
      <c r="A339" s="182">
        <v>327</v>
      </c>
      <c r="B339" s="176" t="s">
        <v>62</v>
      </c>
      <c r="C339" s="34" t="s">
        <v>151</v>
      </c>
      <c r="D339" s="40" t="s">
        <v>378</v>
      </c>
      <c r="E339" s="34" t="s">
        <v>286</v>
      </c>
      <c r="F339" s="73">
        <v>110</v>
      </c>
      <c r="G339" s="29">
        <f>5746142+108098.8+67690.98-127870.9</f>
        <v>5794060.8799999999</v>
      </c>
      <c r="H339" s="29">
        <v>5794060.8799999999</v>
      </c>
      <c r="I339" s="115">
        <v>5776972.1900000004</v>
      </c>
      <c r="J339" s="115">
        <f t="shared" si="188"/>
        <v>99.705065404835722</v>
      </c>
    </row>
    <row r="340" spans="1:13">
      <c r="A340" s="182">
        <v>328</v>
      </c>
      <c r="B340" s="176" t="s">
        <v>19</v>
      </c>
      <c r="C340" s="34" t="s">
        <v>151</v>
      </c>
      <c r="D340" s="40" t="s">
        <v>378</v>
      </c>
      <c r="E340" s="34" t="s">
        <v>286</v>
      </c>
      <c r="F340" s="73">
        <v>200</v>
      </c>
      <c r="G340" s="29">
        <f t="shared" ref="G340:I340" si="192">G341</f>
        <v>849881</v>
      </c>
      <c r="H340" s="29">
        <f t="shared" si="192"/>
        <v>849881</v>
      </c>
      <c r="I340" s="29">
        <f t="shared" si="192"/>
        <v>846162.08</v>
      </c>
      <c r="J340" s="115">
        <f t="shared" si="188"/>
        <v>99.562418738623407</v>
      </c>
    </row>
    <row r="341" spans="1:13">
      <c r="A341" s="182">
        <v>329</v>
      </c>
      <c r="B341" s="176" t="s">
        <v>20</v>
      </c>
      <c r="C341" s="34" t="s">
        <v>151</v>
      </c>
      <c r="D341" s="40" t="s">
        <v>378</v>
      </c>
      <c r="E341" s="34" t="s">
        <v>286</v>
      </c>
      <c r="F341" s="73">
        <v>240</v>
      </c>
      <c r="G341" s="29">
        <f>908881-40000-19000</f>
        <v>849881</v>
      </c>
      <c r="H341" s="29">
        <v>849881</v>
      </c>
      <c r="I341" s="115">
        <v>846162.08</v>
      </c>
      <c r="J341" s="115">
        <f t="shared" si="188"/>
        <v>99.562418738623407</v>
      </c>
    </row>
    <row r="342" spans="1:13">
      <c r="A342" s="182">
        <v>330</v>
      </c>
      <c r="B342" s="176" t="s">
        <v>31</v>
      </c>
      <c r="C342" s="34" t="s">
        <v>151</v>
      </c>
      <c r="D342" s="40" t="s">
        <v>378</v>
      </c>
      <c r="E342" s="34" t="s">
        <v>286</v>
      </c>
      <c r="F342" s="73">
        <v>800</v>
      </c>
      <c r="G342" s="29">
        <f t="shared" ref="G342" si="193">G343</f>
        <v>500</v>
      </c>
      <c r="H342" s="29">
        <f t="shared" ref="H342:I342" si="194">H343</f>
        <v>500</v>
      </c>
      <c r="I342" s="29">
        <f t="shared" si="194"/>
        <v>0</v>
      </c>
      <c r="J342" s="115">
        <f t="shared" si="188"/>
        <v>0</v>
      </c>
    </row>
    <row r="343" spans="1:13">
      <c r="A343" s="182">
        <v>331</v>
      </c>
      <c r="B343" s="176" t="s">
        <v>79</v>
      </c>
      <c r="C343" s="34" t="s">
        <v>151</v>
      </c>
      <c r="D343" s="40" t="s">
        <v>378</v>
      </c>
      <c r="E343" s="34" t="s">
        <v>286</v>
      </c>
      <c r="F343" s="73">
        <v>850</v>
      </c>
      <c r="G343" s="29">
        <v>500</v>
      </c>
      <c r="H343" s="29">
        <v>500</v>
      </c>
      <c r="I343" s="115">
        <v>0</v>
      </c>
      <c r="J343" s="115">
        <f t="shared" si="188"/>
        <v>0</v>
      </c>
    </row>
    <row r="344" spans="1:13" s="59" customFormat="1">
      <c r="A344" s="182">
        <v>332</v>
      </c>
      <c r="B344" s="177" t="s">
        <v>287</v>
      </c>
      <c r="C344" s="175" t="s">
        <v>151</v>
      </c>
      <c r="D344" s="40" t="s">
        <v>378</v>
      </c>
      <c r="E344" s="34" t="s">
        <v>288</v>
      </c>
      <c r="F344" s="170"/>
      <c r="G344" s="29">
        <f t="shared" ref="G344:I345" si="195">G345</f>
        <v>92000</v>
      </c>
      <c r="H344" s="29">
        <f t="shared" si="195"/>
        <v>92000</v>
      </c>
      <c r="I344" s="29">
        <f t="shared" si="195"/>
        <v>89000</v>
      </c>
      <c r="J344" s="115">
        <f t="shared" si="188"/>
        <v>96.739130434782609</v>
      </c>
      <c r="K344" s="118"/>
      <c r="L344" s="118"/>
      <c r="M344" s="130"/>
    </row>
    <row r="345" spans="1:13" s="59" customFormat="1">
      <c r="A345" s="182">
        <v>333</v>
      </c>
      <c r="B345" s="176" t="s">
        <v>19</v>
      </c>
      <c r="C345" s="175" t="s">
        <v>151</v>
      </c>
      <c r="D345" s="40" t="s">
        <v>378</v>
      </c>
      <c r="E345" s="34" t="s">
        <v>288</v>
      </c>
      <c r="F345" s="170">
        <v>200</v>
      </c>
      <c r="G345" s="29">
        <f t="shared" si="195"/>
        <v>92000</v>
      </c>
      <c r="H345" s="29">
        <f t="shared" si="195"/>
        <v>92000</v>
      </c>
      <c r="I345" s="29">
        <f t="shared" si="195"/>
        <v>89000</v>
      </c>
      <c r="J345" s="115">
        <f t="shared" si="188"/>
        <v>96.739130434782609</v>
      </c>
      <c r="K345" s="118"/>
      <c r="L345" s="118"/>
      <c r="M345" s="130"/>
    </row>
    <row r="346" spans="1:13" s="59" customFormat="1">
      <c r="A346" s="182">
        <v>334</v>
      </c>
      <c r="B346" s="176" t="s">
        <v>20</v>
      </c>
      <c r="C346" s="175" t="s">
        <v>151</v>
      </c>
      <c r="D346" s="40" t="s">
        <v>378</v>
      </c>
      <c r="E346" s="34" t="s">
        <v>288</v>
      </c>
      <c r="F346" s="170">
        <v>240</v>
      </c>
      <c r="G346" s="29">
        <f>52000+40000</f>
        <v>92000</v>
      </c>
      <c r="H346" s="29">
        <v>92000</v>
      </c>
      <c r="I346" s="29">
        <v>89000</v>
      </c>
      <c r="J346" s="115">
        <f t="shared" si="188"/>
        <v>96.739130434782609</v>
      </c>
      <c r="K346" s="118"/>
      <c r="L346" s="118"/>
      <c r="M346" s="130"/>
    </row>
    <row r="347" spans="1:13" ht="28.5">
      <c r="A347" s="182">
        <v>335</v>
      </c>
      <c r="B347" s="50" t="s">
        <v>231</v>
      </c>
      <c r="C347" s="47" t="s">
        <v>151</v>
      </c>
      <c r="D347" s="45"/>
      <c r="E347" s="112"/>
      <c r="F347" s="45"/>
      <c r="G347" s="44">
        <f t="shared" ref="G347:I347" si="196">G348</f>
        <v>3001069.32</v>
      </c>
      <c r="H347" s="44">
        <f t="shared" si="196"/>
        <v>3001069.3200000003</v>
      </c>
      <c r="I347" s="44">
        <f t="shared" si="196"/>
        <v>2992552</v>
      </c>
      <c r="J347" s="190">
        <f t="shared" si="188"/>
        <v>99.716190494393501</v>
      </c>
    </row>
    <row r="348" spans="1:13">
      <c r="A348" s="182">
        <v>336</v>
      </c>
      <c r="B348" s="64" t="s">
        <v>84</v>
      </c>
      <c r="C348" s="34" t="s">
        <v>151</v>
      </c>
      <c r="D348" s="40" t="s">
        <v>85</v>
      </c>
      <c r="E348" s="112"/>
      <c r="F348" s="73"/>
      <c r="G348" s="29">
        <f t="shared" ref="G348:I348" si="197">G349</f>
        <v>3001069.32</v>
      </c>
      <c r="H348" s="29">
        <f t="shared" si="197"/>
        <v>3001069.3200000003</v>
      </c>
      <c r="I348" s="29">
        <f t="shared" si="197"/>
        <v>2992552</v>
      </c>
      <c r="J348" s="115">
        <f t="shared" si="188"/>
        <v>99.716190494393501</v>
      </c>
    </row>
    <row r="349" spans="1:13">
      <c r="A349" s="182">
        <v>337</v>
      </c>
      <c r="B349" s="171" t="s">
        <v>59</v>
      </c>
      <c r="C349" s="34" t="s">
        <v>151</v>
      </c>
      <c r="D349" s="40" t="s">
        <v>93</v>
      </c>
      <c r="E349" s="112"/>
      <c r="F349" s="73"/>
      <c r="G349" s="29">
        <f t="shared" ref="G349:I349" si="198">G350</f>
        <v>3001069.32</v>
      </c>
      <c r="H349" s="29">
        <f t="shared" si="198"/>
        <v>3001069.3200000003</v>
      </c>
      <c r="I349" s="29">
        <f t="shared" si="198"/>
        <v>2992552</v>
      </c>
      <c r="J349" s="115">
        <f t="shared" si="188"/>
        <v>99.716190494393501</v>
      </c>
    </row>
    <row r="350" spans="1:13">
      <c r="A350" s="182">
        <v>338</v>
      </c>
      <c r="B350" s="171" t="s">
        <v>327</v>
      </c>
      <c r="C350" s="34" t="s">
        <v>151</v>
      </c>
      <c r="D350" s="40" t="s">
        <v>93</v>
      </c>
      <c r="E350" s="34" t="s">
        <v>187</v>
      </c>
      <c r="F350" s="73"/>
      <c r="G350" s="29">
        <f t="shared" ref="G350:I350" si="199">G351</f>
        <v>3001069.32</v>
      </c>
      <c r="H350" s="29">
        <f t="shared" si="199"/>
        <v>3001069.3200000003</v>
      </c>
      <c r="I350" s="29">
        <f t="shared" si="199"/>
        <v>2992552</v>
      </c>
      <c r="J350" s="115">
        <f t="shared" si="188"/>
        <v>99.716190494393501</v>
      </c>
    </row>
    <row r="351" spans="1:13">
      <c r="A351" s="182">
        <v>339</v>
      </c>
      <c r="B351" s="171" t="s">
        <v>60</v>
      </c>
      <c r="C351" s="34" t="s">
        <v>151</v>
      </c>
      <c r="D351" s="40" t="s">
        <v>93</v>
      </c>
      <c r="E351" s="34" t="s">
        <v>188</v>
      </c>
      <c r="F351" s="73"/>
      <c r="G351" s="29">
        <f>G352+G359</f>
        <v>3001069.32</v>
      </c>
      <c r="H351" s="29">
        <f t="shared" ref="H351:I351" si="200">H352+H359</f>
        <v>3001069.3200000003</v>
      </c>
      <c r="I351" s="29">
        <f t="shared" si="200"/>
        <v>2992552</v>
      </c>
      <c r="J351" s="115">
        <f t="shared" si="188"/>
        <v>99.716190494393501</v>
      </c>
    </row>
    <row r="352" spans="1:13" ht="45">
      <c r="A352" s="182">
        <v>340</v>
      </c>
      <c r="B352" s="171" t="s">
        <v>328</v>
      </c>
      <c r="C352" s="34" t="s">
        <v>151</v>
      </c>
      <c r="D352" s="40" t="s">
        <v>93</v>
      </c>
      <c r="E352" s="34" t="s">
        <v>189</v>
      </c>
      <c r="F352" s="73"/>
      <c r="G352" s="29">
        <f t="shared" ref="G352:H352" si="201">G353+G355+G357</f>
        <v>2660479.3199999998</v>
      </c>
      <c r="H352" s="29">
        <f t="shared" si="201"/>
        <v>2660479.3200000003</v>
      </c>
      <c r="I352" s="29">
        <f t="shared" ref="I352" si="202">I353+I355+I357</f>
        <v>2652494.38</v>
      </c>
      <c r="J352" s="115">
        <f t="shared" si="188"/>
        <v>99.699868368080374</v>
      </c>
    </row>
    <row r="353" spans="1:10" ht="45">
      <c r="A353" s="182">
        <v>341</v>
      </c>
      <c r="B353" s="176" t="s">
        <v>14</v>
      </c>
      <c r="C353" s="34" t="s">
        <v>151</v>
      </c>
      <c r="D353" s="40" t="s">
        <v>93</v>
      </c>
      <c r="E353" s="34" t="s">
        <v>189</v>
      </c>
      <c r="F353" s="73">
        <v>100</v>
      </c>
      <c r="G353" s="29">
        <f t="shared" ref="G353:I353" si="203">G354</f>
        <v>1903424.3199999998</v>
      </c>
      <c r="H353" s="29">
        <f t="shared" si="203"/>
        <v>1903424.32</v>
      </c>
      <c r="I353" s="29">
        <f t="shared" si="203"/>
        <v>1896498.58</v>
      </c>
      <c r="J353" s="115">
        <f t="shared" si="188"/>
        <v>99.636143138068135</v>
      </c>
    </row>
    <row r="354" spans="1:10">
      <c r="A354" s="182">
        <v>342</v>
      </c>
      <c r="B354" s="176" t="s">
        <v>62</v>
      </c>
      <c r="C354" s="34" t="s">
        <v>151</v>
      </c>
      <c r="D354" s="40" t="s">
        <v>93</v>
      </c>
      <c r="E354" s="34" t="s">
        <v>189</v>
      </c>
      <c r="F354" s="73">
        <v>110</v>
      </c>
      <c r="G354" s="29">
        <f>1856403+53898.4+8122.92-10000-2000-3000</f>
        <v>1903424.3199999998</v>
      </c>
      <c r="H354" s="29">
        <v>1903424.32</v>
      </c>
      <c r="I354" s="115">
        <v>1896498.58</v>
      </c>
      <c r="J354" s="115">
        <f t="shared" si="188"/>
        <v>99.636143138068135</v>
      </c>
    </row>
    <row r="355" spans="1:10">
      <c r="A355" s="182">
        <v>343</v>
      </c>
      <c r="B355" s="176" t="s">
        <v>19</v>
      </c>
      <c r="C355" s="34" t="s">
        <v>151</v>
      </c>
      <c r="D355" s="40" t="s">
        <v>93</v>
      </c>
      <c r="E355" s="34" t="s">
        <v>189</v>
      </c>
      <c r="F355" s="73">
        <v>200</v>
      </c>
      <c r="G355" s="29">
        <f t="shared" ref="G355" si="204">G356</f>
        <v>756055</v>
      </c>
      <c r="H355" s="29">
        <f t="shared" ref="H355:I355" si="205">H356</f>
        <v>756055</v>
      </c>
      <c r="I355" s="29">
        <f t="shared" si="205"/>
        <v>755995.8</v>
      </c>
      <c r="J355" s="115">
        <f t="shared" si="188"/>
        <v>99.992169881820772</v>
      </c>
    </row>
    <row r="356" spans="1:10">
      <c r="A356" s="182">
        <v>344</v>
      </c>
      <c r="B356" s="176" t="s">
        <v>20</v>
      </c>
      <c r="C356" s="34" t="s">
        <v>151</v>
      </c>
      <c r="D356" s="40" t="s">
        <v>93</v>
      </c>
      <c r="E356" s="34" t="s">
        <v>189</v>
      </c>
      <c r="F356" s="73">
        <v>240</v>
      </c>
      <c r="G356" s="29">
        <v>756055</v>
      </c>
      <c r="H356" s="29">
        <v>756055</v>
      </c>
      <c r="I356" s="115">
        <v>755995.8</v>
      </c>
      <c r="J356" s="115">
        <f t="shared" si="188"/>
        <v>99.992169881820772</v>
      </c>
    </row>
    <row r="357" spans="1:10">
      <c r="A357" s="182">
        <v>345</v>
      </c>
      <c r="B357" s="176" t="s">
        <v>31</v>
      </c>
      <c r="C357" s="34" t="s">
        <v>151</v>
      </c>
      <c r="D357" s="40" t="s">
        <v>93</v>
      </c>
      <c r="E357" s="34" t="s">
        <v>189</v>
      </c>
      <c r="F357" s="73">
        <v>800</v>
      </c>
      <c r="G357" s="29">
        <f t="shared" ref="G357" si="206">G358</f>
        <v>1000</v>
      </c>
      <c r="H357" s="29">
        <f t="shared" ref="H357:I357" si="207">H358</f>
        <v>1000</v>
      </c>
      <c r="I357" s="29">
        <f t="shared" si="207"/>
        <v>0</v>
      </c>
      <c r="J357" s="115">
        <f t="shared" si="188"/>
        <v>0</v>
      </c>
    </row>
    <row r="358" spans="1:10">
      <c r="A358" s="182">
        <v>346</v>
      </c>
      <c r="B358" s="176" t="s">
        <v>79</v>
      </c>
      <c r="C358" s="34" t="s">
        <v>151</v>
      </c>
      <c r="D358" s="40" t="s">
        <v>93</v>
      </c>
      <c r="E358" s="34" t="s">
        <v>189</v>
      </c>
      <c r="F358" s="73">
        <v>850</v>
      </c>
      <c r="G358" s="29">
        <v>1000</v>
      </c>
      <c r="H358" s="29">
        <v>1000</v>
      </c>
      <c r="I358" s="115">
        <v>0</v>
      </c>
      <c r="J358" s="115">
        <f t="shared" si="188"/>
        <v>0</v>
      </c>
    </row>
    <row r="359" spans="1:10" ht="45">
      <c r="A359" s="182">
        <v>347</v>
      </c>
      <c r="B359" s="173" t="s">
        <v>326</v>
      </c>
      <c r="C359" s="34" t="s">
        <v>151</v>
      </c>
      <c r="D359" s="40" t="s">
        <v>93</v>
      </c>
      <c r="E359" s="34" t="s">
        <v>190</v>
      </c>
      <c r="F359" s="73"/>
      <c r="G359" s="29">
        <f t="shared" ref="G359:I359" si="208">G360+G362</f>
        <v>340590</v>
      </c>
      <c r="H359" s="29">
        <f t="shared" si="208"/>
        <v>340590</v>
      </c>
      <c r="I359" s="29">
        <f t="shared" si="208"/>
        <v>340057.62</v>
      </c>
      <c r="J359" s="115">
        <f t="shared" si="188"/>
        <v>99.843688892803655</v>
      </c>
    </row>
    <row r="360" spans="1:10" ht="45">
      <c r="A360" s="182">
        <v>348</v>
      </c>
      <c r="B360" s="176" t="s">
        <v>14</v>
      </c>
      <c r="C360" s="34" t="s">
        <v>151</v>
      </c>
      <c r="D360" s="40" t="s">
        <v>93</v>
      </c>
      <c r="E360" s="34" t="s">
        <v>190</v>
      </c>
      <c r="F360" s="73">
        <v>100</v>
      </c>
      <c r="G360" s="29">
        <f t="shared" ref="G360:I360" si="209">G361</f>
        <v>288604.7</v>
      </c>
      <c r="H360" s="29">
        <f t="shared" si="209"/>
        <v>288604.7</v>
      </c>
      <c r="I360" s="29">
        <f t="shared" si="209"/>
        <v>288072.32000000001</v>
      </c>
      <c r="J360" s="115">
        <f t="shared" si="188"/>
        <v>99.815533149668028</v>
      </c>
    </row>
    <row r="361" spans="1:10">
      <c r="A361" s="182">
        <v>349</v>
      </c>
      <c r="B361" s="176" t="s">
        <v>62</v>
      </c>
      <c r="C361" s="34" t="s">
        <v>151</v>
      </c>
      <c r="D361" s="40" t="s">
        <v>93</v>
      </c>
      <c r="E361" s="34" t="s">
        <v>190</v>
      </c>
      <c r="F361" s="73">
        <v>110</v>
      </c>
      <c r="G361" s="29">
        <f>288114.7+490</f>
        <v>288604.7</v>
      </c>
      <c r="H361" s="29">
        <v>288604.7</v>
      </c>
      <c r="I361" s="115">
        <v>288072.32000000001</v>
      </c>
      <c r="J361" s="115">
        <f t="shared" si="188"/>
        <v>99.815533149668028</v>
      </c>
    </row>
    <row r="362" spans="1:10">
      <c r="A362" s="182">
        <v>350</v>
      </c>
      <c r="B362" s="176" t="s">
        <v>19</v>
      </c>
      <c r="C362" s="34" t="s">
        <v>151</v>
      </c>
      <c r="D362" s="40" t="s">
        <v>93</v>
      </c>
      <c r="E362" s="34" t="s">
        <v>190</v>
      </c>
      <c r="F362" s="73">
        <v>200</v>
      </c>
      <c r="G362" s="29">
        <f t="shared" ref="G362" si="210">G363</f>
        <v>51985.3</v>
      </c>
      <c r="H362" s="29">
        <f t="shared" ref="H362:I362" si="211">H363</f>
        <v>51985.3</v>
      </c>
      <c r="I362" s="29">
        <f t="shared" si="211"/>
        <v>51985.3</v>
      </c>
      <c r="J362" s="115">
        <f t="shared" si="188"/>
        <v>100</v>
      </c>
    </row>
    <row r="363" spans="1:10">
      <c r="A363" s="182">
        <v>351</v>
      </c>
      <c r="B363" s="176" t="s">
        <v>20</v>
      </c>
      <c r="C363" s="34" t="s">
        <v>151</v>
      </c>
      <c r="D363" s="40" t="s">
        <v>93</v>
      </c>
      <c r="E363" s="34" t="s">
        <v>190</v>
      </c>
      <c r="F363" s="73">
        <v>240</v>
      </c>
      <c r="G363" s="29">
        <v>51985.3</v>
      </c>
      <c r="H363" s="29">
        <v>51985.3</v>
      </c>
      <c r="I363" s="115">
        <v>51985.3</v>
      </c>
      <c r="J363" s="115">
        <f t="shared" si="188"/>
        <v>100</v>
      </c>
    </row>
    <row r="364" spans="1:10" ht="36.75" customHeight="1">
      <c r="A364" s="182">
        <v>352</v>
      </c>
      <c r="B364" s="50" t="s">
        <v>232</v>
      </c>
      <c r="C364" s="47" t="s">
        <v>151</v>
      </c>
      <c r="D364" s="43"/>
      <c r="E364" s="125"/>
      <c r="F364" s="43"/>
      <c r="G364" s="44">
        <f t="shared" ref="G364:I367" si="212">G365</f>
        <v>70859935.229999989</v>
      </c>
      <c r="H364" s="44">
        <f t="shared" si="212"/>
        <v>70859935.229999989</v>
      </c>
      <c r="I364" s="44">
        <f t="shared" si="212"/>
        <v>70850658.089999989</v>
      </c>
      <c r="J364" s="190">
        <f t="shared" si="188"/>
        <v>99.986907778041441</v>
      </c>
    </row>
    <row r="365" spans="1:10">
      <c r="A365" s="182">
        <v>353</v>
      </c>
      <c r="B365" s="64" t="s">
        <v>84</v>
      </c>
      <c r="C365" s="34" t="s">
        <v>151</v>
      </c>
      <c r="D365" s="40" t="s">
        <v>85</v>
      </c>
      <c r="E365" s="112"/>
      <c r="F365" s="73"/>
      <c r="G365" s="29">
        <f t="shared" si="212"/>
        <v>70859935.229999989</v>
      </c>
      <c r="H365" s="29">
        <f t="shared" si="212"/>
        <v>70859935.229999989</v>
      </c>
      <c r="I365" s="29">
        <f t="shared" si="212"/>
        <v>70850658.089999989</v>
      </c>
      <c r="J365" s="115">
        <f t="shared" si="188"/>
        <v>99.986907778041441</v>
      </c>
    </row>
    <row r="366" spans="1:10">
      <c r="A366" s="182">
        <v>354</v>
      </c>
      <c r="B366" s="171" t="s">
        <v>34</v>
      </c>
      <c r="C366" s="34" t="s">
        <v>151</v>
      </c>
      <c r="D366" s="40" t="s">
        <v>93</v>
      </c>
      <c r="E366" s="112"/>
      <c r="F366" s="73"/>
      <c r="G366" s="29">
        <f t="shared" si="212"/>
        <v>70859935.229999989</v>
      </c>
      <c r="H366" s="29">
        <f t="shared" si="212"/>
        <v>70859935.229999989</v>
      </c>
      <c r="I366" s="29">
        <f t="shared" si="212"/>
        <v>70850658.089999989</v>
      </c>
      <c r="J366" s="115">
        <f t="shared" si="188"/>
        <v>99.986907778041441</v>
      </c>
    </row>
    <row r="367" spans="1:10">
      <c r="A367" s="182">
        <v>355</v>
      </c>
      <c r="B367" s="171" t="s">
        <v>273</v>
      </c>
      <c r="C367" s="34" t="s">
        <v>151</v>
      </c>
      <c r="D367" s="40" t="s">
        <v>93</v>
      </c>
      <c r="E367" s="34" t="s">
        <v>270</v>
      </c>
      <c r="F367" s="73"/>
      <c r="G367" s="29">
        <f t="shared" si="212"/>
        <v>70859935.229999989</v>
      </c>
      <c r="H367" s="29">
        <f t="shared" si="212"/>
        <v>70859935.229999989</v>
      </c>
      <c r="I367" s="29">
        <f t="shared" si="212"/>
        <v>70850658.089999989</v>
      </c>
      <c r="J367" s="115">
        <f t="shared" si="188"/>
        <v>99.986907778041441</v>
      </c>
    </row>
    <row r="368" spans="1:10">
      <c r="A368" s="182">
        <v>356</v>
      </c>
      <c r="B368" s="171" t="s">
        <v>272</v>
      </c>
      <c r="C368" s="34" t="s">
        <v>151</v>
      </c>
      <c r="D368" s="40" t="s">
        <v>93</v>
      </c>
      <c r="E368" s="34" t="s">
        <v>271</v>
      </c>
      <c r="F368" s="73"/>
      <c r="G368" s="29">
        <f>G369+G376</f>
        <v>70859935.229999989</v>
      </c>
      <c r="H368" s="29">
        <f t="shared" ref="H368:I368" si="213">H369+H376</f>
        <v>70859935.229999989</v>
      </c>
      <c r="I368" s="29">
        <f t="shared" si="213"/>
        <v>70850658.089999989</v>
      </c>
      <c r="J368" s="115">
        <f t="shared" si="188"/>
        <v>99.986907778041441</v>
      </c>
    </row>
    <row r="369" spans="1:10">
      <c r="A369" s="182">
        <v>357</v>
      </c>
      <c r="B369" s="171" t="s">
        <v>297</v>
      </c>
      <c r="C369" s="34" t="s">
        <v>151</v>
      </c>
      <c r="D369" s="40" t="s">
        <v>93</v>
      </c>
      <c r="E369" s="34" t="s">
        <v>274</v>
      </c>
      <c r="F369" s="73"/>
      <c r="G369" s="29">
        <f t="shared" ref="G369:H369" si="214">G370+G372+G374</f>
        <v>69548099.729999989</v>
      </c>
      <c r="H369" s="29">
        <f t="shared" si="214"/>
        <v>69548099.729999989</v>
      </c>
      <c r="I369" s="29">
        <f t="shared" ref="I369" si="215">I370+I372+I374</f>
        <v>69538822.589999989</v>
      </c>
      <c r="J369" s="115">
        <f t="shared" si="188"/>
        <v>99.986660828928436</v>
      </c>
    </row>
    <row r="370" spans="1:10" ht="45">
      <c r="A370" s="182">
        <v>358</v>
      </c>
      <c r="B370" s="176" t="s">
        <v>14</v>
      </c>
      <c r="C370" s="34" t="s">
        <v>151</v>
      </c>
      <c r="D370" s="40" t="s">
        <v>93</v>
      </c>
      <c r="E370" s="34" t="s">
        <v>274</v>
      </c>
      <c r="F370" s="73">
        <v>100</v>
      </c>
      <c r="G370" s="29">
        <f t="shared" ref="G370:I370" si="216">G371</f>
        <v>67294921.489999995</v>
      </c>
      <c r="H370" s="29">
        <f t="shared" si="216"/>
        <v>67294921.489999995</v>
      </c>
      <c r="I370" s="29">
        <f t="shared" si="216"/>
        <v>67285743.709999993</v>
      </c>
      <c r="J370" s="115">
        <f t="shared" si="188"/>
        <v>99.986361853470086</v>
      </c>
    </row>
    <row r="371" spans="1:10">
      <c r="A371" s="182">
        <v>359</v>
      </c>
      <c r="B371" s="176" t="s">
        <v>62</v>
      </c>
      <c r="C371" s="34" t="s">
        <v>151</v>
      </c>
      <c r="D371" s="40" t="s">
        <v>93</v>
      </c>
      <c r="E371" s="34" t="s">
        <v>274</v>
      </c>
      <c r="F371" s="73">
        <v>110</v>
      </c>
      <c r="G371" s="29">
        <f>65286953+923280.5+254534.5+555645.23+4508.26+270000</f>
        <v>67294921.489999995</v>
      </c>
      <c r="H371" s="29">
        <v>67294921.489999995</v>
      </c>
      <c r="I371" s="115">
        <v>67285743.709999993</v>
      </c>
      <c r="J371" s="115">
        <f t="shared" si="188"/>
        <v>99.986361853470086</v>
      </c>
    </row>
    <row r="372" spans="1:10">
      <c r="A372" s="182">
        <v>360</v>
      </c>
      <c r="B372" s="176" t="s">
        <v>19</v>
      </c>
      <c r="C372" s="34" t="s">
        <v>151</v>
      </c>
      <c r="D372" s="40" t="s">
        <v>93</v>
      </c>
      <c r="E372" s="34" t="s">
        <v>274</v>
      </c>
      <c r="F372" s="73">
        <v>200</v>
      </c>
      <c r="G372" s="29">
        <f t="shared" ref="G372:I374" si="217">G373</f>
        <v>2229474.88</v>
      </c>
      <c r="H372" s="29">
        <f t="shared" si="217"/>
        <v>2229474.88</v>
      </c>
      <c r="I372" s="29">
        <f t="shared" si="217"/>
        <v>2229474.88</v>
      </c>
      <c r="J372" s="115">
        <f t="shared" si="188"/>
        <v>100</v>
      </c>
    </row>
    <row r="373" spans="1:10">
      <c r="A373" s="182">
        <v>361</v>
      </c>
      <c r="B373" s="176" t="s">
        <v>20</v>
      </c>
      <c r="C373" s="34" t="s">
        <v>151</v>
      </c>
      <c r="D373" s="40" t="s">
        <v>93</v>
      </c>
      <c r="E373" s="34" t="s">
        <v>274</v>
      </c>
      <c r="F373" s="73">
        <v>240</v>
      </c>
      <c r="G373" s="29">
        <f>2603621-120000-254534.5+388.38</f>
        <v>2229474.88</v>
      </c>
      <c r="H373" s="29">
        <v>2229474.88</v>
      </c>
      <c r="I373" s="115">
        <v>2229474.88</v>
      </c>
      <c r="J373" s="115">
        <f t="shared" si="188"/>
        <v>100</v>
      </c>
    </row>
    <row r="374" spans="1:10">
      <c r="A374" s="182">
        <v>362</v>
      </c>
      <c r="B374" s="176" t="s">
        <v>31</v>
      </c>
      <c r="C374" s="34" t="s">
        <v>151</v>
      </c>
      <c r="D374" s="40" t="s">
        <v>93</v>
      </c>
      <c r="E374" s="34" t="s">
        <v>274</v>
      </c>
      <c r="F374" s="73">
        <v>800</v>
      </c>
      <c r="G374" s="29">
        <f t="shared" ref="G374" si="218">G375</f>
        <v>23703.360000000001</v>
      </c>
      <c r="H374" s="29">
        <f t="shared" si="217"/>
        <v>23703.360000000001</v>
      </c>
      <c r="I374" s="29">
        <f t="shared" si="217"/>
        <v>23604</v>
      </c>
      <c r="J374" s="115">
        <f t="shared" si="188"/>
        <v>99.580818921874368</v>
      </c>
    </row>
    <row r="375" spans="1:10">
      <c r="A375" s="182">
        <v>363</v>
      </c>
      <c r="B375" s="176" t="s">
        <v>79</v>
      </c>
      <c r="C375" s="34" t="s">
        <v>151</v>
      </c>
      <c r="D375" s="40" t="s">
        <v>93</v>
      </c>
      <c r="E375" s="34" t="s">
        <v>274</v>
      </c>
      <c r="F375" s="73">
        <v>850</v>
      </c>
      <c r="G375" s="29">
        <f>28600-4896.64</f>
        <v>23703.360000000001</v>
      </c>
      <c r="H375" s="29">
        <v>23703.360000000001</v>
      </c>
      <c r="I375" s="115">
        <v>23604</v>
      </c>
      <c r="J375" s="115">
        <f t="shared" si="188"/>
        <v>99.580818921874368</v>
      </c>
    </row>
    <row r="376" spans="1:10" ht="30">
      <c r="A376" s="182">
        <v>364</v>
      </c>
      <c r="B376" s="177" t="s">
        <v>324</v>
      </c>
      <c r="C376" s="34" t="s">
        <v>151</v>
      </c>
      <c r="D376" s="40" t="s">
        <v>93</v>
      </c>
      <c r="E376" s="34" t="s">
        <v>325</v>
      </c>
      <c r="F376" s="73"/>
      <c r="G376" s="29">
        <f t="shared" ref="G376:I376" si="219">G377+G379</f>
        <v>1311835.5</v>
      </c>
      <c r="H376" s="29">
        <f t="shared" si="219"/>
        <v>1311835.5</v>
      </c>
      <c r="I376" s="29">
        <f t="shared" si="219"/>
        <v>1311835.5</v>
      </c>
      <c r="J376" s="115">
        <f t="shared" si="188"/>
        <v>100</v>
      </c>
    </row>
    <row r="377" spans="1:10" ht="45">
      <c r="A377" s="182">
        <v>365</v>
      </c>
      <c r="B377" s="176" t="s">
        <v>14</v>
      </c>
      <c r="C377" s="34" t="s">
        <v>151</v>
      </c>
      <c r="D377" s="40" t="s">
        <v>93</v>
      </c>
      <c r="E377" s="34" t="s">
        <v>325</v>
      </c>
      <c r="F377" s="73">
        <v>100</v>
      </c>
      <c r="G377" s="29">
        <f t="shared" ref="G377:I377" si="220">G378</f>
        <v>1263825.5</v>
      </c>
      <c r="H377" s="29">
        <f t="shared" si="220"/>
        <v>1263825.5</v>
      </c>
      <c r="I377" s="29">
        <f t="shared" si="220"/>
        <v>1263825.5</v>
      </c>
      <c r="J377" s="115">
        <f t="shared" si="188"/>
        <v>100</v>
      </c>
    </row>
    <row r="378" spans="1:10">
      <c r="A378" s="182">
        <v>366</v>
      </c>
      <c r="B378" s="176" t="s">
        <v>62</v>
      </c>
      <c r="C378" s="34" t="s">
        <v>151</v>
      </c>
      <c r="D378" s="40" t="s">
        <v>93</v>
      </c>
      <c r="E378" s="34" t="s">
        <v>325</v>
      </c>
      <c r="F378" s="73">
        <v>110</v>
      </c>
      <c r="G378" s="29">
        <f>1263825+0.5</f>
        <v>1263825.5</v>
      </c>
      <c r="H378" s="29">
        <f>1263825+0.5</f>
        <v>1263825.5</v>
      </c>
      <c r="I378" s="29">
        <v>1263825.5</v>
      </c>
      <c r="J378" s="115">
        <f t="shared" si="188"/>
        <v>100</v>
      </c>
    </row>
    <row r="379" spans="1:10">
      <c r="A379" s="182">
        <v>367</v>
      </c>
      <c r="B379" s="176" t="s">
        <v>19</v>
      </c>
      <c r="C379" s="34" t="s">
        <v>151</v>
      </c>
      <c r="D379" s="40" t="s">
        <v>93</v>
      </c>
      <c r="E379" s="34" t="s">
        <v>325</v>
      </c>
      <c r="F379" s="73">
        <v>200</v>
      </c>
      <c r="G379" s="29">
        <f t="shared" ref="G379:I379" si="221">G380</f>
        <v>48010</v>
      </c>
      <c r="H379" s="29">
        <f t="shared" si="221"/>
        <v>48010</v>
      </c>
      <c r="I379" s="29">
        <f t="shared" si="221"/>
        <v>48010</v>
      </c>
      <c r="J379" s="115">
        <f t="shared" si="188"/>
        <v>100</v>
      </c>
    </row>
    <row r="380" spans="1:10">
      <c r="A380" s="182">
        <v>368</v>
      </c>
      <c r="B380" s="176" t="s">
        <v>20</v>
      </c>
      <c r="C380" s="34" t="s">
        <v>151</v>
      </c>
      <c r="D380" s="40" t="s">
        <v>93</v>
      </c>
      <c r="E380" s="34" t="s">
        <v>325</v>
      </c>
      <c r="F380" s="73">
        <v>240</v>
      </c>
      <c r="G380" s="29">
        <v>48010</v>
      </c>
      <c r="H380" s="29">
        <v>48010</v>
      </c>
      <c r="I380" s="29">
        <v>48010</v>
      </c>
      <c r="J380" s="115">
        <f t="shared" si="188"/>
        <v>100</v>
      </c>
    </row>
    <row r="381" spans="1:10" ht="39" customHeight="1">
      <c r="A381" s="182">
        <v>369</v>
      </c>
      <c r="B381" s="50" t="s">
        <v>279</v>
      </c>
      <c r="C381" s="47" t="s">
        <v>151</v>
      </c>
      <c r="D381" s="45"/>
      <c r="E381" s="112"/>
      <c r="F381" s="45"/>
      <c r="G381" s="44">
        <f t="shared" ref="G381:I381" si="222">G382</f>
        <v>10657298</v>
      </c>
      <c r="H381" s="44">
        <f t="shared" si="222"/>
        <v>10657298</v>
      </c>
      <c r="I381" s="44">
        <f t="shared" si="222"/>
        <v>10275788.319999998</v>
      </c>
      <c r="J381" s="190">
        <f t="shared" si="188"/>
        <v>96.420202569169021</v>
      </c>
    </row>
    <row r="382" spans="1:10">
      <c r="A382" s="182">
        <v>370</v>
      </c>
      <c r="B382" s="64" t="s">
        <v>84</v>
      </c>
      <c r="C382" s="34" t="s">
        <v>151</v>
      </c>
      <c r="D382" s="40" t="s">
        <v>85</v>
      </c>
      <c r="E382" s="112"/>
      <c r="F382" s="73"/>
      <c r="G382" s="35">
        <f t="shared" ref="G382:I382" si="223">G383</f>
        <v>10657298</v>
      </c>
      <c r="H382" s="35">
        <f t="shared" si="223"/>
        <v>10657298</v>
      </c>
      <c r="I382" s="35">
        <f t="shared" si="223"/>
        <v>10275788.319999998</v>
      </c>
      <c r="J382" s="115">
        <f t="shared" si="188"/>
        <v>96.420202569169021</v>
      </c>
    </row>
    <row r="383" spans="1:10">
      <c r="A383" s="182">
        <v>371</v>
      </c>
      <c r="B383" s="171" t="s">
        <v>34</v>
      </c>
      <c r="C383" s="34" t="s">
        <v>151</v>
      </c>
      <c r="D383" s="40" t="s">
        <v>93</v>
      </c>
      <c r="E383" s="112"/>
      <c r="F383" s="73"/>
      <c r="G383" s="35">
        <f>G384+G393</f>
        <v>10657298</v>
      </c>
      <c r="H383" s="35">
        <f>H384+H393</f>
        <v>10657298</v>
      </c>
      <c r="I383" s="35">
        <f>I384+I393</f>
        <v>10275788.319999998</v>
      </c>
      <c r="J383" s="115">
        <f t="shared" si="188"/>
        <v>96.420202569169021</v>
      </c>
    </row>
    <row r="384" spans="1:10">
      <c r="A384" s="182">
        <v>372</v>
      </c>
      <c r="B384" s="171" t="s">
        <v>273</v>
      </c>
      <c r="C384" s="34" t="s">
        <v>151</v>
      </c>
      <c r="D384" s="40" t="s">
        <v>93</v>
      </c>
      <c r="E384" s="112">
        <v>9100000000</v>
      </c>
      <c r="F384" s="73"/>
      <c r="G384" s="35">
        <f t="shared" ref="G384:I384" si="224">G385</f>
        <v>9257298</v>
      </c>
      <c r="H384" s="35">
        <f t="shared" si="224"/>
        <v>9257298</v>
      </c>
      <c r="I384" s="35">
        <f t="shared" si="224"/>
        <v>9233288.3199999984</v>
      </c>
      <c r="J384" s="115">
        <f t="shared" si="188"/>
        <v>99.740640519512269</v>
      </c>
    </row>
    <row r="385" spans="1:10">
      <c r="A385" s="182">
        <v>373</v>
      </c>
      <c r="B385" s="171" t="s">
        <v>280</v>
      </c>
      <c r="C385" s="34" t="s">
        <v>151</v>
      </c>
      <c r="D385" s="40" t="s">
        <v>93</v>
      </c>
      <c r="E385" s="112">
        <v>9150000000</v>
      </c>
      <c r="F385" s="73"/>
      <c r="G385" s="35">
        <f t="shared" ref="G385:I385" si="225">G386</f>
        <v>9257298</v>
      </c>
      <c r="H385" s="35">
        <f t="shared" si="225"/>
        <v>9257298</v>
      </c>
      <c r="I385" s="35">
        <f t="shared" si="225"/>
        <v>9233288.3199999984</v>
      </c>
      <c r="J385" s="115">
        <f t="shared" si="188"/>
        <v>99.740640519512269</v>
      </c>
    </row>
    <row r="386" spans="1:10">
      <c r="A386" s="182">
        <v>374</v>
      </c>
      <c r="B386" s="171" t="s">
        <v>297</v>
      </c>
      <c r="C386" s="34" t="s">
        <v>151</v>
      </c>
      <c r="D386" s="40" t="s">
        <v>93</v>
      </c>
      <c r="E386" s="112">
        <v>9150000620</v>
      </c>
      <c r="F386" s="73"/>
      <c r="G386" s="29">
        <f t="shared" ref="G386" si="226">G387+G389+G391</f>
        <v>9257298</v>
      </c>
      <c r="H386" s="29">
        <f t="shared" ref="H386:I386" si="227">H387+H389+H391</f>
        <v>9257298</v>
      </c>
      <c r="I386" s="29">
        <f t="shared" si="227"/>
        <v>9233288.3199999984</v>
      </c>
      <c r="J386" s="115">
        <f t="shared" si="188"/>
        <v>99.740640519512269</v>
      </c>
    </row>
    <row r="387" spans="1:10" ht="45">
      <c r="A387" s="182">
        <v>375</v>
      </c>
      <c r="B387" s="176" t="s">
        <v>14</v>
      </c>
      <c r="C387" s="34" t="s">
        <v>151</v>
      </c>
      <c r="D387" s="40" t="s">
        <v>93</v>
      </c>
      <c r="E387" s="112">
        <v>9150000620</v>
      </c>
      <c r="F387" s="73">
        <v>100</v>
      </c>
      <c r="G387" s="29">
        <f t="shared" ref="G387:I387" si="228">G388</f>
        <v>8782442</v>
      </c>
      <c r="H387" s="29">
        <f t="shared" si="228"/>
        <v>8782442</v>
      </c>
      <c r="I387" s="29">
        <f t="shared" si="228"/>
        <v>8759188.6199999992</v>
      </c>
      <c r="J387" s="115">
        <f t="shared" si="188"/>
        <v>99.735228766668754</v>
      </c>
    </row>
    <row r="388" spans="1:10">
      <c r="A388" s="182">
        <v>376</v>
      </c>
      <c r="B388" s="176" t="s">
        <v>62</v>
      </c>
      <c r="C388" s="34" t="s">
        <v>151</v>
      </c>
      <c r="D388" s="40" t="s">
        <v>93</v>
      </c>
      <c r="E388" s="112">
        <v>9150000620</v>
      </c>
      <c r="F388" s="73">
        <v>110</v>
      </c>
      <c r="G388" s="29">
        <f>9222442-266499.8+266499.8-440000</f>
        <v>8782442</v>
      </c>
      <c r="H388" s="29">
        <v>8782442</v>
      </c>
      <c r="I388" s="115">
        <v>8759188.6199999992</v>
      </c>
      <c r="J388" s="115">
        <f t="shared" si="188"/>
        <v>99.735228766668754</v>
      </c>
    </row>
    <row r="389" spans="1:10">
      <c r="A389" s="182">
        <v>377</v>
      </c>
      <c r="B389" s="176" t="s">
        <v>19</v>
      </c>
      <c r="C389" s="34" t="s">
        <v>151</v>
      </c>
      <c r="D389" s="40" t="s">
        <v>93</v>
      </c>
      <c r="E389" s="112">
        <v>9150000620</v>
      </c>
      <c r="F389" s="73">
        <v>200</v>
      </c>
      <c r="G389" s="29">
        <f t="shared" ref="G389:I389" si="229">G390</f>
        <v>474356</v>
      </c>
      <c r="H389" s="29">
        <f t="shared" si="229"/>
        <v>474356</v>
      </c>
      <c r="I389" s="29">
        <f t="shared" si="229"/>
        <v>474099.7</v>
      </c>
      <c r="J389" s="115">
        <f t="shared" si="188"/>
        <v>99.945968850399282</v>
      </c>
    </row>
    <row r="390" spans="1:10">
      <c r="A390" s="182">
        <v>378</v>
      </c>
      <c r="B390" s="176" t="s">
        <v>20</v>
      </c>
      <c r="C390" s="34" t="s">
        <v>151</v>
      </c>
      <c r="D390" s="40" t="s">
        <v>93</v>
      </c>
      <c r="E390" s="112">
        <v>9150000620</v>
      </c>
      <c r="F390" s="73">
        <v>240</v>
      </c>
      <c r="G390" s="29">
        <f>524356-50000</f>
        <v>474356</v>
      </c>
      <c r="H390" s="29">
        <v>474356</v>
      </c>
      <c r="I390" s="115">
        <v>474099.7</v>
      </c>
      <c r="J390" s="115">
        <f t="shared" si="188"/>
        <v>99.945968850399282</v>
      </c>
    </row>
    <row r="391" spans="1:10">
      <c r="A391" s="182">
        <v>379</v>
      </c>
      <c r="B391" s="176" t="s">
        <v>31</v>
      </c>
      <c r="C391" s="34" t="s">
        <v>151</v>
      </c>
      <c r="D391" s="40" t="s">
        <v>93</v>
      </c>
      <c r="E391" s="112">
        <v>9150000620</v>
      </c>
      <c r="F391" s="73">
        <v>800</v>
      </c>
      <c r="G391" s="29">
        <f t="shared" ref="G391:I391" si="230">G392</f>
        <v>500</v>
      </c>
      <c r="H391" s="29">
        <f t="shared" si="230"/>
        <v>500</v>
      </c>
      <c r="I391" s="29">
        <f t="shared" si="230"/>
        <v>0</v>
      </c>
      <c r="J391" s="115">
        <f t="shared" si="188"/>
        <v>0</v>
      </c>
    </row>
    <row r="392" spans="1:10">
      <c r="A392" s="182">
        <v>380</v>
      </c>
      <c r="B392" s="176" t="s">
        <v>79</v>
      </c>
      <c r="C392" s="34" t="s">
        <v>151</v>
      </c>
      <c r="D392" s="40" t="s">
        <v>93</v>
      </c>
      <c r="E392" s="112">
        <v>9150000620</v>
      </c>
      <c r="F392" s="73">
        <v>850</v>
      </c>
      <c r="G392" s="29">
        <f>5000-2500-2000</f>
        <v>500</v>
      </c>
      <c r="H392" s="29">
        <v>500</v>
      </c>
      <c r="I392" s="115">
        <v>0</v>
      </c>
      <c r="J392" s="115">
        <f t="shared" si="188"/>
        <v>0</v>
      </c>
    </row>
    <row r="393" spans="1:10">
      <c r="A393" s="182">
        <v>381</v>
      </c>
      <c r="B393" s="177" t="s">
        <v>278</v>
      </c>
      <c r="C393" s="34" t="s">
        <v>151</v>
      </c>
      <c r="D393" s="40" t="s">
        <v>93</v>
      </c>
      <c r="E393" s="34" t="s">
        <v>176</v>
      </c>
      <c r="F393" s="73"/>
      <c r="G393" s="29">
        <f t="shared" ref="G393:I393" si="231">G394</f>
        <v>1400000</v>
      </c>
      <c r="H393" s="29">
        <f t="shared" si="231"/>
        <v>1400000</v>
      </c>
      <c r="I393" s="29">
        <f t="shared" si="231"/>
        <v>1042500</v>
      </c>
      <c r="J393" s="115">
        <f t="shared" si="188"/>
        <v>74.464285714285722</v>
      </c>
    </row>
    <row r="394" spans="1:10" ht="30">
      <c r="A394" s="182">
        <v>382</v>
      </c>
      <c r="B394" s="171" t="s">
        <v>381</v>
      </c>
      <c r="C394" s="34" t="s">
        <v>151</v>
      </c>
      <c r="D394" s="40" t="s">
        <v>93</v>
      </c>
      <c r="E394" s="34" t="s">
        <v>177</v>
      </c>
      <c r="F394" s="73"/>
      <c r="G394" s="29">
        <f t="shared" ref="G394:H394" si="232">G395+G398</f>
        <v>1400000</v>
      </c>
      <c r="H394" s="29">
        <f t="shared" si="232"/>
        <v>1400000</v>
      </c>
      <c r="I394" s="29">
        <f t="shared" ref="I394" si="233">I395+I398</f>
        <v>1042500</v>
      </c>
      <c r="J394" s="115">
        <f t="shared" si="188"/>
        <v>74.464285714285722</v>
      </c>
    </row>
    <row r="395" spans="1:10" ht="45">
      <c r="A395" s="182">
        <v>383</v>
      </c>
      <c r="B395" s="171" t="s">
        <v>363</v>
      </c>
      <c r="C395" s="34" t="s">
        <v>151</v>
      </c>
      <c r="D395" s="40" t="s">
        <v>93</v>
      </c>
      <c r="E395" s="34" t="s">
        <v>281</v>
      </c>
      <c r="F395" s="73"/>
      <c r="G395" s="29">
        <f t="shared" ref="G395:I396" si="234">G396</f>
        <v>755000</v>
      </c>
      <c r="H395" s="29">
        <f t="shared" si="234"/>
        <v>755000</v>
      </c>
      <c r="I395" s="29">
        <f t="shared" si="234"/>
        <v>557000</v>
      </c>
      <c r="J395" s="115">
        <f t="shared" si="188"/>
        <v>73.774834437086085</v>
      </c>
    </row>
    <row r="396" spans="1:10">
      <c r="A396" s="182">
        <v>384</v>
      </c>
      <c r="B396" s="176" t="s">
        <v>19</v>
      </c>
      <c r="C396" s="34" t="s">
        <v>151</v>
      </c>
      <c r="D396" s="40" t="s">
        <v>93</v>
      </c>
      <c r="E396" s="34" t="s">
        <v>281</v>
      </c>
      <c r="F396" s="73">
        <v>200</v>
      </c>
      <c r="G396" s="29">
        <f t="shared" si="234"/>
        <v>755000</v>
      </c>
      <c r="H396" s="29">
        <f t="shared" si="234"/>
        <v>755000</v>
      </c>
      <c r="I396" s="29">
        <f t="shared" si="234"/>
        <v>557000</v>
      </c>
      <c r="J396" s="115">
        <f t="shared" si="188"/>
        <v>73.774834437086085</v>
      </c>
    </row>
    <row r="397" spans="1:10">
      <c r="A397" s="182">
        <v>385</v>
      </c>
      <c r="B397" s="176" t="s">
        <v>20</v>
      </c>
      <c r="C397" s="34" t="s">
        <v>151</v>
      </c>
      <c r="D397" s="40" t="s">
        <v>93</v>
      </c>
      <c r="E397" s="34" t="s">
        <v>281</v>
      </c>
      <c r="F397" s="73">
        <v>240</v>
      </c>
      <c r="G397" s="29">
        <f>200000+50000+470000+35000</f>
        <v>755000</v>
      </c>
      <c r="H397" s="29">
        <v>755000</v>
      </c>
      <c r="I397" s="115">
        <v>557000</v>
      </c>
      <c r="J397" s="115">
        <f t="shared" si="188"/>
        <v>73.774834437086085</v>
      </c>
    </row>
    <row r="398" spans="1:10" ht="45">
      <c r="A398" s="182">
        <v>386</v>
      </c>
      <c r="B398" s="171" t="s">
        <v>364</v>
      </c>
      <c r="C398" s="34" t="s">
        <v>151</v>
      </c>
      <c r="D398" s="40" t="s">
        <v>93</v>
      </c>
      <c r="E398" s="34" t="s">
        <v>282</v>
      </c>
      <c r="F398" s="73"/>
      <c r="G398" s="29">
        <f t="shared" ref="G398:I399" si="235">G399</f>
        <v>645000</v>
      </c>
      <c r="H398" s="29">
        <f t="shared" si="235"/>
        <v>645000</v>
      </c>
      <c r="I398" s="29">
        <f t="shared" si="235"/>
        <v>485500</v>
      </c>
      <c r="J398" s="115">
        <f t="shared" si="188"/>
        <v>75.271317829457359</v>
      </c>
    </row>
    <row r="399" spans="1:10">
      <c r="A399" s="182">
        <v>387</v>
      </c>
      <c r="B399" s="176" t="s">
        <v>19</v>
      </c>
      <c r="C399" s="34" t="s">
        <v>151</v>
      </c>
      <c r="D399" s="40" t="s">
        <v>93</v>
      </c>
      <c r="E399" s="34" t="s">
        <v>282</v>
      </c>
      <c r="F399" s="73">
        <v>200</v>
      </c>
      <c r="G399" s="29">
        <f t="shared" si="235"/>
        <v>645000</v>
      </c>
      <c r="H399" s="29">
        <f t="shared" si="235"/>
        <v>645000</v>
      </c>
      <c r="I399" s="29">
        <f t="shared" si="235"/>
        <v>485500</v>
      </c>
      <c r="J399" s="115">
        <f t="shared" ref="J399:J462" si="236">I399/H399*100</f>
        <v>75.271317829457359</v>
      </c>
    </row>
    <row r="400" spans="1:10">
      <c r="A400" s="182">
        <v>388</v>
      </c>
      <c r="B400" s="176" t="s">
        <v>20</v>
      </c>
      <c r="C400" s="34" t="s">
        <v>151</v>
      </c>
      <c r="D400" s="40" t="s">
        <v>93</v>
      </c>
      <c r="E400" s="34" t="s">
        <v>282</v>
      </c>
      <c r="F400" s="73">
        <v>240</v>
      </c>
      <c r="G400" s="29">
        <f>300000-50000+430000-35000</f>
        <v>645000</v>
      </c>
      <c r="H400" s="29">
        <v>645000</v>
      </c>
      <c r="I400" s="115">
        <v>485500</v>
      </c>
      <c r="J400" s="115">
        <f t="shared" si="236"/>
        <v>75.271317829457359</v>
      </c>
    </row>
    <row r="401" spans="1:10" ht="35.25" customHeight="1">
      <c r="A401" s="182">
        <v>389</v>
      </c>
      <c r="B401" s="48" t="s">
        <v>233</v>
      </c>
      <c r="C401" s="46">
        <v>951</v>
      </c>
      <c r="D401" s="43"/>
      <c r="E401" s="125"/>
      <c r="F401" s="43"/>
      <c r="G401" s="44">
        <f>G402+G503</f>
        <v>755567302.23000002</v>
      </c>
      <c r="H401" s="44">
        <f>H402+H503</f>
        <v>754298902.23000002</v>
      </c>
      <c r="I401" s="44">
        <f>I402+I503</f>
        <v>735264952.33000004</v>
      </c>
      <c r="J401" s="190">
        <f t="shared" si="236"/>
        <v>97.476603791450813</v>
      </c>
    </row>
    <row r="402" spans="1:10">
      <c r="A402" s="182">
        <v>390</v>
      </c>
      <c r="B402" s="64" t="s">
        <v>112</v>
      </c>
      <c r="C402" s="175">
        <v>951</v>
      </c>
      <c r="D402" s="175" t="s">
        <v>113</v>
      </c>
      <c r="E402" s="112"/>
      <c r="F402" s="170"/>
      <c r="G402" s="29">
        <f>G403+G426+G470+G490</f>
        <v>739016308.61000001</v>
      </c>
      <c r="H402" s="29">
        <f>H403+H426+H470+H490</f>
        <v>737747908.61000001</v>
      </c>
      <c r="I402" s="29">
        <f>I403+I426+I470+I490</f>
        <v>719965777.38</v>
      </c>
      <c r="J402" s="115">
        <f t="shared" si="236"/>
        <v>97.589673786605019</v>
      </c>
    </row>
    <row r="403" spans="1:10">
      <c r="A403" s="182">
        <v>391</v>
      </c>
      <c r="B403" s="176" t="s">
        <v>114</v>
      </c>
      <c r="C403" s="175">
        <v>951</v>
      </c>
      <c r="D403" s="175" t="s">
        <v>115</v>
      </c>
      <c r="E403" s="112"/>
      <c r="F403" s="170"/>
      <c r="G403" s="29">
        <f>G404+G421</f>
        <v>224234891.43000001</v>
      </c>
      <c r="H403" s="29">
        <f t="shared" ref="H403:I403" si="237">H404+H421</f>
        <v>224256767.01000002</v>
      </c>
      <c r="I403" s="29">
        <f t="shared" si="237"/>
        <v>222750720.69000003</v>
      </c>
      <c r="J403" s="115">
        <f t="shared" si="236"/>
        <v>99.328427703618487</v>
      </c>
    </row>
    <row r="404" spans="1:10" ht="30">
      <c r="A404" s="182">
        <v>392</v>
      </c>
      <c r="B404" s="171" t="s">
        <v>53</v>
      </c>
      <c r="C404" s="175">
        <v>951</v>
      </c>
      <c r="D404" s="175" t="s">
        <v>115</v>
      </c>
      <c r="E404" s="34" t="s">
        <v>182</v>
      </c>
      <c r="F404" s="170"/>
      <c r="G404" s="29">
        <f t="shared" ref="G404:I404" si="238">G405</f>
        <v>224175991.43000001</v>
      </c>
      <c r="H404" s="29">
        <f t="shared" si="238"/>
        <v>224175991.43000001</v>
      </c>
      <c r="I404" s="29">
        <f t="shared" si="238"/>
        <v>222669945.11000001</v>
      </c>
      <c r="J404" s="115">
        <f t="shared" si="236"/>
        <v>99.328185721230426</v>
      </c>
    </row>
    <row r="405" spans="1:10">
      <c r="A405" s="182">
        <v>393</v>
      </c>
      <c r="B405" s="171" t="s">
        <v>133</v>
      </c>
      <c r="C405" s="175">
        <v>951</v>
      </c>
      <c r="D405" s="175" t="s">
        <v>115</v>
      </c>
      <c r="E405" s="34" t="s">
        <v>192</v>
      </c>
      <c r="F405" s="170"/>
      <c r="G405" s="29">
        <f>G406+G412+G415+G418+G409</f>
        <v>224175991.43000001</v>
      </c>
      <c r="H405" s="29">
        <f t="shared" ref="H405:I405" si="239">H406+H412+H415+H418+H409</f>
        <v>224175991.43000001</v>
      </c>
      <c r="I405" s="29">
        <f t="shared" si="239"/>
        <v>222669945.11000001</v>
      </c>
      <c r="J405" s="115">
        <f t="shared" si="236"/>
        <v>99.328185721230426</v>
      </c>
    </row>
    <row r="406" spans="1:10" ht="45">
      <c r="A406" s="182">
        <v>394</v>
      </c>
      <c r="B406" s="176" t="s">
        <v>331</v>
      </c>
      <c r="C406" s="175">
        <v>951</v>
      </c>
      <c r="D406" s="175" t="s">
        <v>115</v>
      </c>
      <c r="E406" s="34" t="s">
        <v>193</v>
      </c>
      <c r="F406" s="170"/>
      <c r="G406" s="110">
        <f t="shared" ref="G406:I406" si="240">G407</f>
        <v>115249990.93000001</v>
      </c>
      <c r="H406" s="110">
        <f t="shared" si="240"/>
        <v>115249990.93000001</v>
      </c>
      <c r="I406" s="110">
        <f t="shared" si="240"/>
        <v>113931433.19</v>
      </c>
      <c r="J406" s="115">
        <f t="shared" si="236"/>
        <v>98.85591510302082</v>
      </c>
    </row>
    <row r="407" spans="1:10" ht="30">
      <c r="A407" s="182">
        <v>395</v>
      </c>
      <c r="B407" s="176" t="s">
        <v>48</v>
      </c>
      <c r="C407" s="175">
        <v>951</v>
      </c>
      <c r="D407" s="175" t="s">
        <v>115</v>
      </c>
      <c r="E407" s="34" t="s">
        <v>193</v>
      </c>
      <c r="F407" s="170">
        <v>600</v>
      </c>
      <c r="G407" s="110">
        <f t="shared" ref="G407" si="241">G408</f>
        <v>115249990.93000001</v>
      </c>
      <c r="H407" s="29">
        <f t="shared" ref="H407:I407" si="242">H408</f>
        <v>115249990.93000001</v>
      </c>
      <c r="I407" s="29">
        <f t="shared" si="242"/>
        <v>113931433.19</v>
      </c>
      <c r="J407" s="115">
        <f t="shared" si="236"/>
        <v>98.85591510302082</v>
      </c>
    </row>
    <row r="408" spans="1:10">
      <c r="A408" s="182">
        <v>396</v>
      </c>
      <c r="B408" s="176" t="s">
        <v>66</v>
      </c>
      <c r="C408" s="175">
        <v>951</v>
      </c>
      <c r="D408" s="175" t="s">
        <v>115</v>
      </c>
      <c r="E408" s="34" t="s">
        <v>193</v>
      </c>
      <c r="F408" s="170">
        <v>610</v>
      </c>
      <c r="G408" s="110">
        <f>110199670+15180+4303047.18+1000684.69-138590.94-130000</f>
        <v>115249990.93000001</v>
      </c>
      <c r="H408" s="29">
        <v>115249990.93000001</v>
      </c>
      <c r="I408" s="115">
        <v>113931433.19</v>
      </c>
      <c r="J408" s="115">
        <f t="shared" si="236"/>
        <v>98.85591510302082</v>
      </c>
    </row>
    <row r="409" spans="1:10" ht="60">
      <c r="A409" s="182">
        <v>397</v>
      </c>
      <c r="B409" s="176" t="s">
        <v>476</v>
      </c>
      <c r="C409" s="175" t="s">
        <v>163</v>
      </c>
      <c r="D409" s="175" t="s">
        <v>115</v>
      </c>
      <c r="E409" s="34" t="s">
        <v>477</v>
      </c>
      <c r="F409" s="170"/>
      <c r="G409" s="110">
        <f>G410</f>
        <v>7120000</v>
      </c>
      <c r="H409" s="29">
        <f t="shared" ref="H409:I410" si="243">H410</f>
        <v>7120000</v>
      </c>
      <c r="I409" s="29">
        <f t="shared" si="243"/>
        <v>7120000</v>
      </c>
      <c r="J409" s="115">
        <f t="shared" si="236"/>
        <v>100</v>
      </c>
    </row>
    <row r="410" spans="1:10" ht="30">
      <c r="A410" s="182">
        <v>398</v>
      </c>
      <c r="B410" s="176" t="s">
        <v>48</v>
      </c>
      <c r="C410" s="175" t="s">
        <v>163</v>
      </c>
      <c r="D410" s="175" t="s">
        <v>115</v>
      </c>
      <c r="E410" s="34" t="s">
        <v>477</v>
      </c>
      <c r="F410" s="170">
        <v>600</v>
      </c>
      <c r="G410" s="110">
        <f>G411</f>
        <v>7120000</v>
      </c>
      <c r="H410" s="29">
        <f t="shared" si="243"/>
        <v>7120000</v>
      </c>
      <c r="I410" s="29">
        <f t="shared" si="243"/>
        <v>7120000</v>
      </c>
      <c r="J410" s="115">
        <f t="shared" si="236"/>
        <v>100</v>
      </c>
    </row>
    <row r="411" spans="1:10">
      <c r="A411" s="182">
        <v>399</v>
      </c>
      <c r="B411" s="176" t="s">
        <v>66</v>
      </c>
      <c r="C411" s="175" t="s">
        <v>163</v>
      </c>
      <c r="D411" s="175" t="s">
        <v>115</v>
      </c>
      <c r="E411" s="34" t="s">
        <v>477</v>
      </c>
      <c r="F411" s="170">
        <v>610</v>
      </c>
      <c r="G411" s="110">
        <f>87180+7048000-15180</f>
        <v>7120000</v>
      </c>
      <c r="H411" s="29">
        <v>7120000</v>
      </c>
      <c r="I411" s="115">
        <v>7120000</v>
      </c>
      <c r="J411" s="115">
        <f t="shared" si="236"/>
        <v>100</v>
      </c>
    </row>
    <row r="412" spans="1:10" ht="112.5" customHeight="1">
      <c r="A412" s="182">
        <v>400</v>
      </c>
      <c r="B412" s="173" t="s">
        <v>332</v>
      </c>
      <c r="C412" s="175">
        <v>951</v>
      </c>
      <c r="D412" s="175" t="s">
        <v>115</v>
      </c>
      <c r="E412" s="34" t="s">
        <v>194</v>
      </c>
      <c r="F412" s="170"/>
      <c r="G412" s="110">
        <f t="shared" ref="G412" si="244">G413</f>
        <v>41275330.5</v>
      </c>
      <c r="H412" s="29">
        <f t="shared" ref="H412:I412" si="245">H413</f>
        <v>41275330.5</v>
      </c>
      <c r="I412" s="29">
        <f t="shared" si="245"/>
        <v>41200440.799999997</v>
      </c>
      <c r="J412" s="115">
        <f t="shared" si="236"/>
        <v>99.818560629090541</v>
      </c>
    </row>
    <row r="413" spans="1:10" ht="30">
      <c r="A413" s="182">
        <v>401</v>
      </c>
      <c r="B413" s="176" t="s">
        <v>48</v>
      </c>
      <c r="C413" s="175">
        <v>951</v>
      </c>
      <c r="D413" s="175" t="s">
        <v>115</v>
      </c>
      <c r="E413" s="34" t="s">
        <v>194</v>
      </c>
      <c r="F413" s="170">
        <v>600</v>
      </c>
      <c r="G413" s="110">
        <f t="shared" ref="G413" si="246">G414</f>
        <v>41275330.5</v>
      </c>
      <c r="H413" s="29">
        <f t="shared" ref="H413:I413" si="247">H414</f>
        <v>41275330.5</v>
      </c>
      <c r="I413" s="29">
        <f t="shared" si="247"/>
        <v>41200440.799999997</v>
      </c>
      <c r="J413" s="115">
        <f t="shared" si="236"/>
        <v>99.818560629090541</v>
      </c>
    </row>
    <row r="414" spans="1:10">
      <c r="A414" s="182">
        <v>402</v>
      </c>
      <c r="B414" s="176" t="s">
        <v>66</v>
      </c>
      <c r="C414" s="175">
        <v>951</v>
      </c>
      <c r="D414" s="175" t="s">
        <v>115</v>
      </c>
      <c r="E414" s="34" t="s">
        <v>194</v>
      </c>
      <c r="F414" s="170">
        <v>610</v>
      </c>
      <c r="G414" s="110">
        <f>39208800+845400+630430.5+590700</f>
        <v>41275330.5</v>
      </c>
      <c r="H414" s="29">
        <v>41275330.5</v>
      </c>
      <c r="I414" s="115">
        <v>41200440.799999997</v>
      </c>
      <c r="J414" s="115">
        <f t="shared" si="236"/>
        <v>99.818560629090541</v>
      </c>
    </row>
    <row r="415" spans="1:10" ht="105">
      <c r="A415" s="182">
        <v>403</v>
      </c>
      <c r="B415" s="173" t="s">
        <v>333</v>
      </c>
      <c r="C415" s="175">
        <v>951</v>
      </c>
      <c r="D415" s="175" t="s">
        <v>115</v>
      </c>
      <c r="E415" s="34" t="s">
        <v>195</v>
      </c>
      <c r="F415" s="170"/>
      <c r="G415" s="110">
        <f t="shared" ref="G415:I416" si="248">G416</f>
        <v>60291370</v>
      </c>
      <c r="H415" s="29">
        <f t="shared" si="248"/>
        <v>60291370</v>
      </c>
      <c r="I415" s="29">
        <f t="shared" si="248"/>
        <v>60178771.119999997</v>
      </c>
      <c r="J415" s="115">
        <f t="shared" si="236"/>
        <v>99.813242127355878</v>
      </c>
    </row>
    <row r="416" spans="1:10" ht="30">
      <c r="A416" s="182">
        <v>404</v>
      </c>
      <c r="B416" s="176" t="s">
        <v>48</v>
      </c>
      <c r="C416" s="175">
        <v>951</v>
      </c>
      <c r="D416" s="175" t="s">
        <v>115</v>
      </c>
      <c r="E416" s="34" t="s">
        <v>195</v>
      </c>
      <c r="F416" s="170">
        <v>600</v>
      </c>
      <c r="G416" s="110">
        <f t="shared" ref="G416" si="249">G417</f>
        <v>60291370</v>
      </c>
      <c r="H416" s="29">
        <f t="shared" si="248"/>
        <v>60291370</v>
      </c>
      <c r="I416" s="29">
        <f t="shared" si="248"/>
        <v>60178771.119999997</v>
      </c>
      <c r="J416" s="115">
        <f t="shared" si="236"/>
        <v>99.813242127355878</v>
      </c>
    </row>
    <row r="417" spans="1:10">
      <c r="A417" s="182">
        <v>405</v>
      </c>
      <c r="B417" s="176" t="s">
        <v>66</v>
      </c>
      <c r="C417" s="175">
        <v>951</v>
      </c>
      <c r="D417" s="175" t="s">
        <v>115</v>
      </c>
      <c r="E417" s="34" t="s">
        <v>195</v>
      </c>
      <c r="F417" s="170">
        <v>610</v>
      </c>
      <c r="G417" s="110">
        <f>54892600+240600+1951400+215800+40500+1245400+1705070</f>
        <v>60291370</v>
      </c>
      <c r="H417" s="29">
        <v>60291370</v>
      </c>
      <c r="I417" s="115">
        <v>60178771.119999997</v>
      </c>
      <c r="J417" s="115">
        <f t="shared" si="236"/>
        <v>99.813242127355878</v>
      </c>
    </row>
    <row r="418" spans="1:10" ht="105">
      <c r="A418" s="182">
        <v>406</v>
      </c>
      <c r="B418" s="174" t="s">
        <v>334</v>
      </c>
      <c r="C418" s="175">
        <v>951</v>
      </c>
      <c r="D418" s="175" t="s">
        <v>115</v>
      </c>
      <c r="E418" s="34" t="s">
        <v>196</v>
      </c>
      <c r="F418" s="170"/>
      <c r="G418" s="110">
        <f t="shared" ref="G418:I419" si="250">G419</f>
        <v>239300</v>
      </c>
      <c r="H418" s="29">
        <f t="shared" si="250"/>
        <v>239300</v>
      </c>
      <c r="I418" s="29">
        <f t="shared" si="250"/>
        <v>239300</v>
      </c>
      <c r="J418" s="115">
        <f t="shared" si="236"/>
        <v>100</v>
      </c>
    </row>
    <row r="419" spans="1:10" ht="30">
      <c r="A419" s="182">
        <v>407</v>
      </c>
      <c r="B419" s="176" t="s">
        <v>48</v>
      </c>
      <c r="C419" s="175">
        <v>951</v>
      </c>
      <c r="D419" s="175" t="s">
        <v>115</v>
      </c>
      <c r="E419" s="34" t="s">
        <v>196</v>
      </c>
      <c r="F419" s="170">
        <v>600</v>
      </c>
      <c r="G419" s="110">
        <f t="shared" ref="G419" si="251">G420</f>
        <v>239300</v>
      </c>
      <c r="H419" s="29">
        <f t="shared" si="250"/>
        <v>239300</v>
      </c>
      <c r="I419" s="29">
        <f t="shared" si="250"/>
        <v>239300</v>
      </c>
      <c r="J419" s="115">
        <f t="shared" si="236"/>
        <v>100</v>
      </c>
    </row>
    <row r="420" spans="1:10">
      <c r="A420" s="182">
        <v>408</v>
      </c>
      <c r="B420" s="176" t="s">
        <v>66</v>
      </c>
      <c r="C420" s="175">
        <v>951</v>
      </c>
      <c r="D420" s="175" t="s">
        <v>115</v>
      </c>
      <c r="E420" s="34" t="s">
        <v>196</v>
      </c>
      <c r="F420" s="170">
        <v>610</v>
      </c>
      <c r="G420" s="110">
        <v>239300</v>
      </c>
      <c r="H420" s="29">
        <v>239300</v>
      </c>
      <c r="I420" s="29">
        <v>239300</v>
      </c>
      <c r="J420" s="115">
        <f t="shared" si="236"/>
        <v>100</v>
      </c>
    </row>
    <row r="421" spans="1:10" ht="23.45" customHeight="1">
      <c r="A421" s="182">
        <v>409</v>
      </c>
      <c r="B421" s="176" t="s">
        <v>273</v>
      </c>
      <c r="C421" s="175" t="s">
        <v>163</v>
      </c>
      <c r="D421" s="175" t="s">
        <v>115</v>
      </c>
      <c r="E421" s="34" t="s">
        <v>270</v>
      </c>
      <c r="F421" s="170"/>
      <c r="G421" s="110">
        <f>G422</f>
        <v>58900</v>
      </c>
      <c r="H421" s="110">
        <f>H422</f>
        <v>80775.58</v>
      </c>
      <c r="I421" s="110">
        <f>I422</f>
        <v>80775.58</v>
      </c>
      <c r="J421" s="115">
        <f t="shared" si="236"/>
        <v>100</v>
      </c>
    </row>
    <row r="422" spans="1:10">
      <c r="A422" s="182">
        <v>410</v>
      </c>
      <c r="B422" s="176" t="s">
        <v>510</v>
      </c>
      <c r="C422" s="175" t="s">
        <v>163</v>
      </c>
      <c r="D422" s="175" t="s">
        <v>115</v>
      </c>
      <c r="E422" s="34" t="s">
        <v>514</v>
      </c>
      <c r="F422" s="170"/>
      <c r="G422" s="110">
        <f>G423</f>
        <v>58900</v>
      </c>
      <c r="H422" s="110">
        <f t="shared" ref="H422:I422" si="252">H423</f>
        <v>80775.58</v>
      </c>
      <c r="I422" s="110">
        <f t="shared" si="252"/>
        <v>80775.58</v>
      </c>
      <c r="J422" s="115">
        <f t="shared" si="236"/>
        <v>100</v>
      </c>
    </row>
    <row r="423" spans="1:10" ht="63" customHeight="1">
      <c r="A423" s="182">
        <v>411</v>
      </c>
      <c r="B423" s="176" t="s">
        <v>511</v>
      </c>
      <c r="C423" s="175" t="s">
        <v>163</v>
      </c>
      <c r="D423" s="175" t="s">
        <v>115</v>
      </c>
      <c r="E423" s="34" t="s">
        <v>515</v>
      </c>
      <c r="F423" s="170"/>
      <c r="G423" s="110">
        <f>G424</f>
        <v>58900</v>
      </c>
      <c r="H423" s="110">
        <f t="shared" ref="H423:I423" si="253">H424</f>
        <v>80775.58</v>
      </c>
      <c r="I423" s="110">
        <f t="shared" si="253"/>
        <v>80775.58</v>
      </c>
      <c r="J423" s="115">
        <f t="shared" si="236"/>
        <v>100</v>
      </c>
    </row>
    <row r="424" spans="1:10" ht="27.6" customHeight="1">
      <c r="A424" s="182">
        <v>412</v>
      </c>
      <c r="B424" s="176" t="s">
        <v>48</v>
      </c>
      <c r="C424" s="175" t="s">
        <v>163</v>
      </c>
      <c r="D424" s="175" t="s">
        <v>115</v>
      </c>
      <c r="E424" s="34" t="s">
        <v>515</v>
      </c>
      <c r="F424" s="170">
        <v>600</v>
      </c>
      <c r="G424" s="110">
        <f>G425</f>
        <v>58900</v>
      </c>
      <c r="H424" s="110">
        <f t="shared" ref="H424:I424" si="254">H425</f>
        <v>80775.58</v>
      </c>
      <c r="I424" s="110">
        <f t="shared" si="254"/>
        <v>80775.58</v>
      </c>
      <c r="J424" s="115">
        <f t="shared" si="236"/>
        <v>100</v>
      </c>
    </row>
    <row r="425" spans="1:10">
      <c r="A425" s="182">
        <v>413</v>
      </c>
      <c r="B425" s="176" t="s">
        <v>513</v>
      </c>
      <c r="C425" s="175" t="s">
        <v>163</v>
      </c>
      <c r="D425" s="175" t="s">
        <v>115</v>
      </c>
      <c r="E425" s="34" t="s">
        <v>515</v>
      </c>
      <c r="F425" s="170">
        <v>610</v>
      </c>
      <c r="G425" s="110">
        <v>58900</v>
      </c>
      <c r="H425" s="29">
        <v>80775.58</v>
      </c>
      <c r="I425" s="29">
        <v>80775.58</v>
      </c>
      <c r="J425" s="115">
        <f t="shared" si="236"/>
        <v>100</v>
      </c>
    </row>
    <row r="426" spans="1:10">
      <c r="A426" s="182">
        <v>414</v>
      </c>
      <c r="B426" s="171" t="s">
        <v>64</v>
      </c>
      <c r="C426" s="175">
        <v>951</v>
      </c>
      <c r="D426" s="175" t="s">
        <v>116</v>
      </c>
      <c r="E426" s="34"/>
      <c r="F426" s="170"/>
      <c r="G426" s="29">
        <f>G427+G465</f>
        <v>455655859.46999997</v>
      </c>
      <c r="H426" s="29">
        <f>H427+H465</f>
        <v>454365583.88999999</v>
      </c>
      <c r="I426" s="29">
        <f>I427+I465</f>
        <v>439016868.64000005</v>
      </c>
      <c r="J426" s="115">
        <f t="shared" si="236"/>
        <v>96.621945896827484</v>
      </c>
    </row>
    <row r="427" spans="1:10" ht="30">
      <c r="A427" s="182">
        <v>415</v>
      </c>
      <c r="B427" s="171" t="s">
        <v>53</v>
      </c>
      <c r="C427" s="175">
        <v>951</v>
      </c>
      <c r="D427" s="175" t="s">
        <v>116</v>
      </c>
      <c r="E427" s="34" t="s">
        <v>182</v>
      </c>
      <c r="F427" s="170"/>
      <c r="G427" s="29">
        <f t="shared" ref="G427:I427" si="255">G428</f>
        <v>455593059.46999997</v>
      </c>
      <c r="H427" s="29">
        <f t="shared" si="255"/>
        <v>454293059.46999997</v>
      </c>
      <c r="I427" s="29">
        <f t="shared" si="255"/>
        <v>438944344.22000003</v>
      </c>
      <c r="J427" s="115">
        <f t="shared" si="236"/>
        <v>96.621406616269581</v>
      </c>
    </row>
    <row r="428" spans="1:10">
      <c r="A428" s="182">
        <v>416</v>
      </c>
      <c r="B428" s="171" t="s">
        <v>134</v>
      </c>
      <c r="C428" s="175">
        <v>951</v>
      </c>
      <c r="D428" s="175" t="s">
        <v>116</v>
      </c>
      <c r="E428" s="34" t="s">
        <v>197</v>
      </c>
      <c r="F428" s="170"/>
      <c r="G428" s="29">
        <f>G429+G438+G441+G450+G453+G456+G435+G459+G462+G432+G447+G444</f>
        <v>455593059.46999997</v>
      </c>
      <c r="H428" s="29">
        <f t="shared" ref="H428:I428" si="256">H429+H438+H441+H450+H453+H456+H435+H459+H462+H432+H447+H444</f>
        <v>454293059.46999997</v>
      </c>
      <c r="I428" s="29">
        <f t="shared" si="256"/>
        <v>438944344.22000003</v>
      </c>
      <c r="J428" s="115">
        <f t="shared" si="236"/>
        <v>96.621406616269581</v>
      </c>
    </row>
    <row r="429" spans="1:10" ht="45">
      <c r="A429" s="182">
        <v>417</v>
      </c>
      <c r="B429" s="176" t="s">
        <v>335</v>
      </c>
      <c r="C429" s="175">
        <v>951</v>
      </c>
      <c r="D429" s="175" t="s">
        <v>116</v>
      </c>
      <c r="E429" s="34" t="s">
        <v>198</v>
      </c>
      <c r="F429" s="170"/>
      <c r="G429" s="29">
        <f t="shared" ref="G429:I429" si="257">G430</f>
        <v>194092894.15000001</v>
      </c>
      <c r="H429" s="29">
        <f t="shared" si="257"/>
        <v>194092894.15000001</v>
      </c>
      <c r="I429" s="29">
        <f t="shared" si="257"/>
        <v>182018282.58000001</v>
      </c>
      <c r="J429" s="115">
        <f t="shared" si="236"/>
        <v>93.778952278042482</v>
      </c>
    </row>
    <row r="430" spans="1:10" ht="30">
      <c r="A430" s="182">
        <v>418</v>
      </c>
      <c r="B430" s="176" t="s">
        <v>48</v>
      </c>
      <c r="C430" s="175">
        <v>951</v>
      </c>
      <c r="D430" s="175" t="s">
        <v>116</v>
      </c>
      <c r="E430" s="34" t="s">
        <v>198</v>
      </c>
      <c r="F430" s="170">
        <v>600</v>
      </c>
      <c r="G430" s="110">
        <f t="shared" ref="G430" si="258">G431</f>
        <v>194092894.15000001</v>
      </c>
      <c r="H430" s="110">
        <f t="shared" ref="H430:I430" si="259">H431</f>
        <v>194092894.15000001</v>
      </c>
      <c r="I430" s="110">
        <f t="shared" si="259"/>
        <v>182018282.58000001</v>
      </c>
      <c r="J430" s="115">
        <f t="shared" si="236"/>
        <v>93.778952278042482</v>
      </c>
    </row>
    <row r="431" spans="1:10">
      <c r="A431" s="182">
        <v>419</v>
      </c>
      <c r="B431" s="176" t="s">
        <v>66</v>
      </c>
      <c r="C431" s="175">
        <v>951</v>
      </c>
      <c r="D431" s="175" t="s">
        <v>116</v>
      </c>
      <c r="E431" s="34" t="s">
        <v>198</v>
      </c>
      <c r="F431" s="170">
        <v>610</v>
      </c>
      <c r="G431" s="110">
        <f>157369720+787239.06+6138535.09+33800000+1581400-800000-4401330-121670-192160-68840</f>
        <v>194092894.15000001</v>
      </c>
      <c r="H431" s="110">
        <v>194092894.15000001</v>
      </c>
      <c r="I431" s="128">
        <v>182018282.58000001</v>
      </c>
      <c r="J431" s="115">
        <f t="shared" si="236"/>
        <v>93.778952278042482</v>
      </c>
    </row>
    <row r="432" spans="1:10" ht="30">
      <c r="A432" s="182">
        <v>420</v>
      </c>
      <c r="B432" s="177" t="s">
        <v>470</v>
      </c>
      <c r="C432" s="175" t="s">
        <v>163</v>
      </c>
      <c r="D432" s="175" t="s">
        <v>116</v>
      </c>
      <c r="E432" s="34" t="s">
        <v>469</v>
      </c>
      <c r="F432" s="170"/>
      <c r="G432" s="110">
        <f>G433</f>
        <v>19405000</v>
      </c>
      <c r="H432" s="110">
        <f t="shared" ref="H432:I433" si="260">H433</f>
        <v>18105000</v>
      </c>
      <c r="I432" s="110">
        <f t="shared" si="260"/>
        <v>17942893.510000002</v>
      </c>
      <c r="J432" s="115">
        <f t="shared" si="236"/>
        <v>99.104631372549022</v>
      </c>
    </row>
    <row r="433" spans="1:10" ht="30">
      <c r="A433" s="182">
        <v>421</v>
      </c>
      <c r="B433" s="176" t="s">
        <v>48</v>
      </c>
      <c r="C433" s="175" t="s">
        <v>163</v>
      </c>
      <c r="D433" s="175" t="s">
        <v>116</v>
      </c>
      <c r="E433" s="34" t="s">
        <v>469</v>
      </c>
      <c r="F433" s="170">
        <v>600</v>
      </c>
      <c r="G433" s="110">
        <f>G434</f>
        <v>19405000</v>
      </c>
      <c r="H433" s="110">
        <f t="shared" si="260"/>
        <v>18105000</v>
      </c>
      <c r="I433" s="110">
        <f t="shared" si="260"/>
        <v>17942893.510000002</v>
      </c>
      <c r="J433" s="115">
        <f t="shared" si="236"/>
        <v>99.104631372549022</v>
      </c>
    </row>
    <row r="434" spans="1:10">
      <c r="A434" s="182">
        <v>422</v>
      </c>
      <c r="B434" s="176" t="s">
        <v>66</v>
      </c>
      <c r="C434" s="175" t="s">
        <v>163</v>
      </c>
      <c r="D434" s="175" t="s">
        <v>116</v>
      </c>
      <c r="E434" s="34" t="s">
        <v>469</v>
      </c>
      <c r="F434" s="170">
        <v>610</v>
      </c>
      <c r="G434" s="110">
        <v>19405000</v>
      </c>
      <c r="H434" s="110">
        <v>18105000</v>
      </c>
      <c r="I434" s="128">
        <v>17942893.510000002</v>
      </c>
      <c r="J434" s="115">
        <f t="shared" si="236"/>
        <v>99.104631372549022</v>
      </c>
    </row>
    <row r="435" spans="1:10" ht="75">
      <c r="A435" s="182">
        <v>423</v>
      </c>
      <c r="B435" s="177" t="s">
        <v>488</v>
      </c>
      <c r="C435" s="175" t="s">
        <v>163</v>
      </c>
      <c r="D435" s="175" t="s">
        <v>116</v>
      </c>
      <c r="E435" s="34" t="s">
        <v>487</v>
      </c>
      <c r="F435" s="170"/>
      <c r="G435" s="110">
        <f t="shared" ref="G435:I435" si="261">G436</f>
        <v>1130400</v>
      </c>
      <c r="H435" s="110">
        <f t="shared" si="261"/>
        <v>1130400</v>
      </c>
      <c r="I435" s="110">
        <f t="shared" si="261"/>
        <v>1126667</v>
      </c>
      <c r="J435" s="115">
        <f t="shared" si="236"/>
        <v>99.66976291578203</v>
      </c>
    </row>
    <row r="436" spans="1:10" ht="30">
      <c r="A436" s="182">
        <v>424</v>
      </c>
      <c r="B436" s="176" t="s">
        <v>48</v>
      </c>
      <c r="C436" s="175" t="s">
        <v>163</v>
      </c>
      <c r="D436" s="175" t="s">
        <v>116</v>
      </c>
      <c r="E436" s="34" t="s">
        <v>487</v>
      </c>
      <c r="F436" s="170">
        <v>600</v>
      </c>
      <c r="G436" s="110">
        <f t="shared" ref="G436:I436" si="262">G437</f>
        <v>1130400</v>
      </c>
      <c r="H436" s="110">
        <f t="shared" si="262"/>
        <v>1130400</v>
      </c>
      <c r="I436" s="110">
        <f t="shared" si="262"/>
        <v>1126667</v>
      </c>
      <c r="J436" s="115">
        <f t="shared" si="236"/>
        <v>99.66976291578203</v>
      </c>
    </row>
    <row r="437" spans="1:10">
      <c r="A437" s="182">
        <v>425</v>
      </c>
      <c r="B437" s="176" t="s">
        <v>66</v>
      </c>
      <c r="C437" s="175" t="s">
        <v>163</v>
      </c>
      <c r="D437" s="175" t="s">
        <v>116</v>
      </c>
      <c r="E437" s="34" t="s">
        <v>487</v>
      </c>
      <c r="F437" s="170">
        <v>610</v>
      </c>
      <c r="G437" s="110">
        <v>1130400</v>
      </c>
      <c r="H437" s="110">
        <v>1130400</v>
      </c>
      <c r="I437" s="128">
        <v>1126667</v>
      </c>
      <c r="J437" s="115">
        <f t="shared" si="236"/>
        <v>99.66976291578203</v>
      </c>
    </row>
    <row r="438" spans="1:10" ht="75">
      <c r="A438" s="182">
        <v>426</v>
      </c>
      <c r="B438" s="69" t="s">
        <v>336</v>
      </c>
      <c r="C438" s="175">
        <v>951</v>
      </c>
      <c r="D438" s="175" t="s">
        <v>116</v>
      </c>
      <c r="E438" s="34" t="s">
        <v>243</v>
      </c>
      <c r="F438" s="170"/>
      <c r="G438" s="110">
        <f t="shared" ref="G438:I438" si="263">G439</f>
        <v>2625200</v>
      </c>
      <c r="H438" s="110">
        <f t="shared" si="263"/>
        <v>2625200</v>
      </c>
      <c r="I438" s="110">
        <f t="shared" si="263"/>
        <v>2602385.11</v>
      </c>
      <c r="J438" s="115">
        <f t="shared" si="236"/>
        <v>99.130927548377258</v>
      </c>
    </row>
    <row r="439" spans="1:10" ht="30">
      <c r="A439" s="182">
        <v>427</v>
      </c>
      <c r="B439" s="176" t="s">
        <v>48</v>
      </c>
      <c r="C439" s="175">
        <v>951</v>
      </c>
      <c r="D439" s="175" t="s">
        <v>116</v>
      </c>
      <c r="E439" s="34" t="s">
        <v>243</v>
      </c>
      <c r="F439" s="170">
        <v>600</v>
      </c>
      <c r="G439" s="110">
        <f t="shared" ref="G439:I439" si="264">G440</f>
        <v>2625200</v>
      </c>
      <c r="H439" s="110">
        <f t="shared" si="264"/>
        <v>2625200</v>
      </c>
      <c r="I439" s="110">
        <f t="shared" si="264"/>
        <v>2602385.11</v>
      </c>
      <c r="J439" s="115">
        <f t="shared" si="236"/>
        <v>99.130927548377258</v>
      </c>
    </row>
    <row r="440" spans="1:10">
      <c r="A440" s="182">
        <v>428</v>
      </c>
      <c r="B440" s="176" t="s">
        <v>66</v>
      </c>
      <c r="C440" s="175">
        <v>951</v>
      </c>
      <c r="D440" s="175" t="s">
        <v>116</v>
      </c>
      <c r="E440" s="34" t="s">
        <v>243</v>
      </c>
      <c r="F440" s="170">
        <v>610</v>
      </c>
      <c r="G440" s="110">
        <f>4625200-1900000-100000</f>
        <v>2625200</v>
      </c>
      <c r="H440" s="110">
        <v>2625200</v>
      </c>
      <c r="I440" s="128">
        <v>2602385.11</v>
      </c>
      <c r="J440" s="115">
        <f t="shared" si="236"/>
        <v>99.130927548377258</v>
      </c>
    </row>
    <row r="441" spans="1:10" ht="109.5" customHeight="1">
      <c r="A441" s="182">
        <v>429</v>
      </c>
      <c r="B441" s="173" t="s">
        <v>337</v>
      </c>
      <c r="C441" s="175">
        <v>951</v>
      </c>
      <c r="D441" s="175" t="s">
        <v>116</v>
      </c>
      <c r="E441" s="34" t="s">
        <v>199</v>
      </c>
      <c r="F441" s="170"/>
      <c r="G441" s="110">
        <f t="shared" ref="G441:I442" si="265">G442</f>
        <v>43708990</v>
      </c>
      <c r="H441" s="110">
        <f t="shared" si="265"/>
        <v>43708990</v>
      </c>
      <c r="I441" s="110">
        <f t="shared" si="265"/>
        <v>43590048.950000003</v>
      </c>
      <c r="J441" s="115">
        <f t="shared" si="236"/>
        <v>99.727879665030017</v>
      </c>
    </row>
    <row r="442" spans="1:10" ht="30">
      <c r="A442" s="182">
        <v>430</v>
      </c>
      <c r="B442" s="176" t="s">
        <v>48</v>
      </c>
      <c r="C442" s="175">
        <v>951</v>
      </c>
      <c r="D442" s="175" t="s">
        <v>116</v>
      </c>
      <c r="E442" s="34" t="s">
        <v>199</v>
      </c>
      <c r="F442" s="170">
        <v>600</v>
      </c>
      <c r="G442" s="110">
        <f t="shared" si="265"/>
        <v>43708990</v>
      </c>
      <c r="H442" s="110">
        <f t="shared" si="265"/>
        <v>43708990</v>
      </c>
      <c r="I442" s="110">
        <f t="shared" si="265"/>
        <v>43590048.950000003</v>
      </c>
      <c r="J442" s="115">
        <f t="shared" si="236"/>
        <v>99.727879665030017</v>
      </c>
    </row>
    <row r="443" spans="1:10">
      <c r="A443" s="182">
        <v>431</v>
      </c>
      <c r="B443" s="176" t="s">
        <v>66</v>
      </c>
      <c r="C443" s="175">
        <v>951</v>
      </c>
      <c r="D443" s="175" t="s">
        <v>116</v>
      </c>
      <c r="E443" s="34" t="s">
        <v>199</v>
      </c>
      <c r="F443" s="170">
        <v>610</v>
      </c>
      <c r="G443" s="110">
        <f>41238300-170200+823000+1814390+3500</f>
        <v>43708990</v>
      </c>
      <c r="H443" s="110">
        <v>43708990</v>
      </c>
      <c r="I443" s="128">
        <v>43590048.950000003</v>
      </c>
      <c r="J443" s="115">
        <f t="shared" si="236"/>
        <v>99.727879665030017</v>
      </c>
    </row>
    <row r="444" spans="1:10" ht="45" customHeight="1">
      <c r="A444" s="182">
        <v>432</v>
      </c>
      <c r="B444" s="176" t="s">
        <v>530</v>
      </c>
      <c r="C444" s="175" t="s">
        <v>163</v>
      </c>
      <c r="D444" s="175" t="s">
        <v>116</v>
      </c>
      <c r="E444" s="34" t="s">
        <v>531</v>
      </c>
      <c r="F444" s="170"/>
      <c r="G444" s="110">
        <f>G445</f>
        <v>1207840</v>
      </c>
      <c r="H444" s="110">
        <f t="shared" ref="H444:I445" si="266">H445</f>
        <v>1207840</v>
      </c>
      <c r="I444" s="110">
        <f t="shared" si="266"/>
        <v>1207838.3999999999</v>
      </c>
      <c r="J444" s="115">
        <f t="shared" si="236"/>
        <v>99.99986753212346</v>
      </c>
    </row>
    <row r="445" spans="1:10" ht="30">
      <c r="A445" s="182">
        <v>433</v>
      </c>
      <c r="B445" s="176" t="s">
        <v>512</v>
      </c>
      <c r="C445" s="175" t="s">
        <v>163</v>
      </c>
      <c r="D445" s="175" t="s">
        <v>116</v>
      </c>
      <c r="E445" s="34" t="s">
        <v>531</v>
      </c>
      <c r="F445" s="170">
        <v>600</v>
      </c>
      <c r="G445" s="110">
        <f>G446</f>
        <v>1207840</v>
      </c>
      <c r="H445" s="110">
        <f t="shared" si="266"/>
        <v>1207840</v>
      </c>
      <c r="I445" s="110">
        <f t="shared" si="266"/>
        <v>1207838.3999999999</v>
      </c>
      <c r="J445" s="115">
        <f t="shared" si="236"/>
        <v>99.99986753212346</v>
      </c>
    </row>
    <row r="446" spans="1:10">
      <c r="A446" s="182">
        <v>434</v>
      </c>
      <c r="B446" s="176" t="s">
        <v>513</v>
      </c>
      <c r="C446" s="175" t="s">
        <v>163</v>
      </c>
      <c r="D446" s="175" t="s">
        <v>116</v>
      </c>
      <c r="E446" s="34" t="s">
        <v>531</v>
      </c>
      <c r="F446" s="170">
        <v>610</v>
      </c>
      <c r="G446" s="110">
        <f>1123290+84550</f>
        <v>1207840</v>
      </c>
      <c r="H446" s="110">
        <v>1207840</v>
      </c>
      <c r="I446" s="128">
        <v>1207838.3999999999</v>
      </c>
      <c r="J446" s="115">
        <f t="shared" si="236"/>
        <v>99.99986753212346</v>
      </c>
    </row>
    <row r="447" spans="1:10" ht="60">
      <c r="A447" s="182">
        <v>435</v>
      </c>
      <c r="B447" s="177" t="s">
        <v>478</v>
      </c>
      <c r="C447" s="175" t="s">
        <v>163</v>
      </c>
      <c r="D447" s="175" t="s">
        <v>116</v>
      </c>
      <c r="E447" s="34" t="s">
        <v>479</v>
      </c>
      <c r="F447" s="170"/>
      <c r="G447" s="29">
        <f>G448</f>
        <v>15151517.34</v>
      </c>
      <c r="H447" s="29">
        <f t="shared" ref="H447:I448" si="267">H448</f>
        <v>15151517.34</v>
      </c>
      <c r="I447" s="29">
        <f t="shared" si="267"/>
        <v>12833914.35</v>
      </c>
      <c r="J447" s="115">
        <f t="shared" si="236"/>
        <v>84.70382247537988</v>
      </c>
    </row>
    <row r="448" spans="1:10" ht="30">
      <c r="A448" s="182">
        <v>436</v>
      </c>
      <c r="B448" s="176" t="s">
        <v>48</v>
      </c>
      <c r="C448" s="175" t="s">
        <v>163</v>
      </c>
      <c r="D448" s="175" t="s">
        <v>116</v>
      </c>
      <c r="E448" s="34" t="s">
        <v>479</v>
      </c>
      <c r="F448" s="170">
        <v>600</v>
      </c>
      <c r="G448" s="29">
        <f>G449</f>
        <v>15151517.34</v>
      </c>
      <c r="H448" s="29">
        <f t="shared" si="267"/>
        <v>15151517.34</v>
      </c>
      <c r="I448" s="29">
        <f t="shared" si="267"/>
        <v>12833914.35</v>
      </c>
      <c r="J448" s="115">
        <f t="shared" si="236"/>
        <v>84.70382247537988</v>
      </c>
    </row>
    <row r="449" spans="1:13">
      <c r="A449" s="182">
        <v>437</v>
      </c>
      <c r="B449" s="176" t="s">
        <v>66</v>
      </c>
      <c r="C449" s="175" t="s">
        <v>163</v>
      </c>
      <c r="D449" s="175" t="s">
        <v>116</v>
      </c>
      <c r="E449" s="34" t="s">
        <v>479</v>
      </c>
      <c r="F449" s="170">
        <v>610</v>
      </c>
      <c r="G449" s="110">
        <f>462480+15000000-310962.66</f>
        <v>15151517.34</v>
      </c>
      <c r="H449" s="29">
        <v>15151517.34</v>
      </c>
      <c r="I449" s="115">
        <v>12833914.35</v>
      </c>
      <c r="J449" s="115">
        <f t="shared" si="236"/>
        <v>84.70382247537988</v>
      </c>
    </row>
    <row r="450" spans="1:13" s="59" customFormat="1" ht="60">
      <c r="A450" s="182">
        <v>438</v>
      </c>
      <c r="B450" s="177" t="s">
        <v>361</v>
      </c>
      <c r="C450" s="175" t="s">
        <v>163</v>
      </c>
      <c r="D450" s="175" t="s">
        <v>116</v>
      </c>
      <c r="E450" s="34" t="s">
        <v>362</v>
      </c>
      <c r="F450" s="170"/>
      <c r="G450" s="110">
        <f t="shared" ref="G450:I451" si="268">G451</f>
        <v>1704340.56</v>
      </c>
      <c r="H450" s="29">
        <f t="shared" si="268"/>
        <v>1704340.56</v>
      </c>
      <c r="I450" s="29">
        <f t="shared" si="268"/>
        <v>1541728.18</v>
      </c>
      <c r="J450" s="115">
        <f t="shared" si="236"/>
        <v>90.458926823873739</v>
      </c>
      <c r="K450" s="118"/>
      <c r="L450" s="118"/>
      <c r="M450" s="130"/>
    </row>
    <row r="451" spans="1:13" s="59" customFormat="1" ht="30">
      <c r="A451" s="182">
        <v>439</v>
      </c>
      <c r="B451" s="176" t="s">
        <v>48</v>
      </c>
      <c r="C451" s="175" t="s">
        <v>163</v>
      </c>
      <c r="D451" s="175" t="s">
        <v>116</v>
      </c>
      <c r="E451" s="34" t="s">
        <v>362</v>
      </c>
      <c r="F451" s="170">
        <v>600</v>
      </c>
      <c r="G451" s="110">
        <f t="shared" si="268"/>
        <v>1704340.56</v>
      </c>
      <c r="H451" s="29">
        <f t="shared" si="268"/>
        <v>1704340.56</v>
      </c>
      <c r="I451" s="29">
        <f t="shared" si="268"/>
        <v>1541728.18</v>
      </c>
      <c r="J451" s="115">
        <f t="shared" si="236"/>
        <v>90.458926823873739</v>
      </c>
      <c r="K451" s="118"/>
      <c r="L451" s="118"/>
      <c r="M451" s="130"/>
    </row>
    <row r="452" spans="1:13" s="59" customFormat="1">
      <c r="A452" s="182">
        <v>440</v>
      </c>
      <c r="B452" s="176" t="s">
        <v>66</v>
      </c>
      <c r="C452" s="175" t="s">
        <v>163</v>
      </c>
      <c r="D452" s="175" t="s">
        <v>116</v>
      </c>
      <c r="E452" s="34" t="s">
        <v>362</v>
      </c>
      <c r="F452" s="170">
        <v>610</v>
      </c>
      <c r="G452" s="110">
        <f>2048210-336500-7369.44</f>
        <v>1704340.56</v>
      </c>
      <c r="H452" s="29">
        <v>1704340.56</v>
      </c>
      <c r="I452" s="115">
        <v>1541728.18</v>
      </c>
      <c r="J452" s="115">
        <f t="shared" si="236"/>
        <v>90.458926823873739</v>
      </c>
      <c r="K452" s="118"/>
      <c r="L452" s="118"/>
      <c r="M452" s="130"/>
    </row>
    <row r="453" spans="1:13" ht="105">
      <c r="A453" s="182">
        <v>441</v>
      </c>
      <c r="B453" s="174" t="s">
        <v>338</v>
      </c>
      <c r="C453" s="175">
        <v>951</v>
      </c>
      <c r="D453" s="175" t="s">
        <v>116</v>
      </c>
      <c r="E453" s="34" t="s">
        <v>200</v>
      </c>
      <c r="F453" s="170"/>
      <c r="G453" s="110">
        <f t="shared" ref="G453:I454" si="269">G454</f>
        <v>173727416.41999999</v>
      </c>
      <c r="H453" s="29">
        <f t="shared" si="269"/>
        <v>173727416.41999999</v>
      </c>
      <c r="I453" s="29">
        <f t="shared" si="269"/>
        <v>173242787.25999999</v>
      </c>
      <c r="J453" s="115">
        <f t="shared" si="236"/>
        <v>99.721040484002614</v>
      </c>
    </row>
    <row r="454" spans="1:13" ht="30">
      <c r="A454" s="182">
        <v>442</v>
      </c>
      <c r="B454" s="176" t="s">
        <v>48</v>
      </c>
      <c r="C454" s="175">
        <v>951</v>
      </c>
      <c r="D454" s="175" t="s">
        <v>116</v>
      </c>
      <c r="E454" s="34" t="s">
        <v>200</v>
      </c>
      <c r="F454" s="170">
        <v>600</v>
      </c>
      <c r="G454" s="110">
        <f t="shared" si="269"/>
        <v>173727416.41999999</v>
      </c>
      <c r="H454" s="29">
        <f t="shared" si="269"/>
        <v>173727416.41999999</v>
      </c>
      <c r="I454" s="29">
        <f t="shared" si="269"/>
        <v>173242787.25999999</v>
      </c>
      <c r="J454" s="115">
        <f t="shared" si="236"/>
        <v>99.721040484002614</v>
      </c>
    </row>
    <row r="455" spans="1:13">
      <c r="A455" s="182">
        <v>443</v>
      </c>
      <c r="B455" s="176" t="s">
        <v>66</v>
      </c>
      <c r="C455" s="175">
        <v>951</v>
      </c>
      <c r="D455" s="175" t="s">
        <v>116</v>
      </c>
      <c r="E455" s="34" t="s">
        <v>200</v>
      </c>
      <c r="F455" s="170">
        <v>610</v>
      </c>
      <c r="G455" s="110">
        <f>157211188.23+4368818.19+4545000+223800+6818110+560500</f>
        <v>173727416.41999999</v>
      </c>
      <c r="H455" s="29">
        <v>173727416.41999999</v>
      </c>
      <c r="I455" s="115">
        <v>173242787.25999999</v>
      </c>
      <c r="J455" s="115">
        <f t="shared" si="236"/>
        <v>99.721040484002614</v>
      </c>
    </row>
    <row r="456" spans="1:13" ht="75">
      <c r="A456" s="182">
        <v>444</v>
      </c>
      <c r="B456" s="177" t="s">
        <v>485</v>
      </c>
      <c r="C456" s="175" t="s">
        <v>163</v>
      </c>
      <c r="D456" s="175" t="s">
        <v>116</v>
      </c>
      <c r="E456" s="34" t="s">
        <v>486</v>
      </c>
      <c r="F456" s="170"/>
      <c r="G456" s="110">
        <f>G457</f>
        <v>2121300</v>
      </c>
      <c r="H456" s="29">
        <f t="shared" ref="H456:I456" si="270">H457</f>
        <v>2121300</v>
      </c>
      <c r="I456" s="29">
        <f t="shared" si="270"/>
        <v>2121300</v>
      </c>
      <c r="J456" s="115">
        <f t="shared" si="236"/>
        <v>100</v>
      </c>
    </row>
    <row r="457" spans="1:13" ht="30">
      <c r="A457" s="182">
        <v>445</v>
      </c>
      <c r="B457" s="176" t="s">
        <v>48</v>
      </c>
      <c r="C457" s="175" t="s">
        <v>163</v>
      </c>
      <c r="D457" s="175" t="s">
        <v>116</v>
      </c>
      <c r="E457" s="34" t="s">
        <v>486</v>
      </c>
      <c r="F457" s="170">
        <v>600</v>
      </c>
      <c r="G457" s="110">
        <f>G458</f>
        <v>2121300</v>
      </c>
      <c r="H457" s="29">
        <f t="shared" ref="H457:I457" si="271">H458</f>
        <v>2121300</v>
      </c>
      <c r="I457" s="29">
        <f t="shared" si="271"/>
        <v>2121300</v>
      </c>
      <c r="J457" s="115">
        <f t="shared" si="236"/>
        <v>100</v>
      </c>
      <c r="K457" s="117"/>
    </row>
    <row r="458" spans="1:13">
      <c r="A458" s="182">
        <v>446</v>
      </c>
      <c r="B458" s="176" t="s">
        <v>66</v>
      </c>
      <c r="C458" s="175" t="s">
        <v>163</v>
      </c>
      <c r="D458" s="175" t="s">
        <v>116</v>
      </c>
      <c r="E458" s="34" t="s">
        <v>486</v>
      </c>
      <c r="F458" s="170">
        <v>610</v>
      </c>
      <c r="G458" s="110">
        <f>2159380-38080</f>
        <v>2121300</v>
      </c>
      <c r="H458" s="29">
        <v>2121300</v>
      </c>
      <c r="I458" s="115">
        <v>2121300</v>
      </c>
      <c r="J458" s="115">
        <f t="shared" si="236"/>
        <v>100</v>
      </c>
      <c r="K458" s="123"/>
    </row>
    <row r="459" spans="1:13" ht="30" customHeight="1">
      <c r="A459" s="182">
        <v>447</v>
      </c>
      <c r="B459" s="176" t="s">
        <v>517</v>
      </c>
      <c r="C459" s="175" t="s">
        <v>163</v>
      </c>
      <c r="D459" s="175" t="s">
        <v>116</v>
      </c>
      <c r="E459" s="34" t="s">
        <v>516</v>
      </c>
      <c r="F459" s="170"/>
      <c r="G459" s="110">
        <f>G460</f>
        <v>287530</v>
      </c>
      <c r="H459" s="110">
        <f t="shared" ref="H459:I459" si="272">H460</f>
        <v>287530</v>
      </c>
      <c r="I459" s="110">
        <f t="shared" si="272"/>
        <v>285867.88</v>
      </c>
      <c r="J459" s="115">
        <f t="shared" si="236"/>
        <v>99.421931624526138</v>
      </c>
      <c r="K459" s="123"/>
    </row>
    <row r="460" spans="1:13" ht="30">
      <c r="A460" s="182">
        <v>448</v>
      </c>
      <c r="B460" s="176" t="s">
        <v>512</v>
      </c>
      <c r="C460" s="175" t="s">
        <v>163</v>
      </c>
      <c r="D460" s="175" t="s">
        <v>116</v>
      </c>
      <c r="E460" s="34" t="s">
        <v>516</v>
      </c>
      <c r="F460" s="170">
        <v>600</v>
      </c>
      <c r="G460" s="110">
        <f>G461</f>
        <v>287530</v>
      </c>
      <c r="H460" s="110">
        <f t="shared" ref="H460:I460" si="273">H461</f>
        <v>287530</v>
      </c>
      <c r="I460" s="110">
        <f t="shared" si="273"/>
        <v>285867.88</v>
      </c>
      <c r="J460" s="115">
        <f t="shared" si="236"/>
        <v>99.421931624526138</v>
      </c>
      <c r="K460" s="123"/>
    </row>
    <row r="461" spans="1:13">
      <c r="A461" s="182">
        <v>449</v>
      </c>
      <c r="B461" s="176" t="s">
        <v>513</v>
      </c>
      <c r="C461" s="175" t="s">
        <v>163</v>
      </c>
      <c r="D461" s="175" t="s">
        <v>116</v>
      </c>
      <c r="E461" s="34" t="s">
        <v>516</v>
      </c>
      <c r="F461" s="170">
        <v>610</v>
      </c>
      <c r="G461" s="110">
        <v>287530</v>
      </c>
      <c r="H461" s="29">
        <v>287530</v>
      </c>
      <c r="I461" s="115">
        <v>285867.88</v>
      </c>
      <c r="J461" s="115">
        <f t="shared" si="236"/>
        <v>99.421931624526138</v>
      </c>
      <c r="K461" s="117"/>
    </row>
    <row r="462" spans="1:13" ht="45">
      <c r="A462" s="182">
        <v>450</v>
      </c>
      <c r="B462" s="177" t="s">
        <v>460</v>
      </c>
      <c r="C462" s="175" t="s">
        <v>163</v>
      </c>
      <c r="D462" s="175" t="s">
        <v>116</v>
      </c>
      <c r="E462" s="34" t="s">
        <v>461</v>
      </c>
      <c r="F462" s="170"/>
      <c r="G462" s="110">
        <f t="shared" ref="G462:I463" si="274">G463</f>
        <v>430631</v>
      </c>
      <c r="H462" s="29">
        <f t="shared" si="274"/>
        <v>430631</v>
      </c>
      <c r="I462" s="29">
        <f t="shared" si="274"/>
        <v>430631</v>
      </c>
      <c r="J462" s="115">
        <f t="shared" si="236"/>
        <v>100</v>
      </c>
    </row>
    <row r="463" spans="1:13" ht="30">
      <c r="A463" s="182">
        <v>451</v>
      </c>
      <c r="B463" s="176" t="s">
        <v>48</v>
      </c>
      <c r="C463" s="175" t="s">
        <v>163</v>
      </c>
      <c r="D463" s="175" t="s">
        <v>116</v>
      </c>
      <c r="E463" s="34" t="s">
        <v>461</v>
      </c>
      <c r="F463" s="170">
        <v>600</v>
      </c>
      <c r="G463" s="110">
        <f t="shared" si="274"/>
        <v>430631</v>
      </c>
      <c r="H463" s="29">
        <f t="shared" si="274"/>
        <v>430631</v>
      </c>
      <c r="I463" s="29">
        <f t="shared" si="274"/>
        <v>430631</v>
      </c>
      <c r="J463" s="115">
        <f t="shared" ref="J463:J526" si="275">I463/H463*100</f>
        <v>100</v>
      </c>
    </row>
    <row r="464" spans="1:13">
      <c r="A464" s="182">
        <v>452</v>
      </c>
      <c r="B464" s="176" t="s">
        <v>66</v>
      </c>
      <c r="C464" s="175" t="s">
        <v>163</v>
      </c>
      <c r="D464" s="175" t="s">
        <v>116</v>
      </c>
      <c r="E464" s="34" t="s">
        <v>461</v>
      </c>
      <c r="F464" s="170">
        <v>610</v>
      </c>
      <c r="G464" s="110">
        <f>480000-49369</f>
        <v>430631</v>
      </c>
      <c r="H464" s="29">
        <v>430631</v>
      </c>
      <c r="I464" s="115">
        <v>430631</v>
      </c>
      <c r="J464" s="115">
        <f t="shared" si="275"/>
        <v>100</v>
      </c>
    </row>
    <row r="465" spans="1:10">
      <c r="A465" s="182">
        <v>453</v>
      </c>
      <c r="B465" s="176" t="s">
        <v>518</v>
      </c>
      <c r="C465" s="175" t="s">
        <v>163</v>
      </c>
      <c r="D465" s="175" t="s">
        <v>116</v>
      </c>
      <c r="E465" s="34"/>
      <c r="F465" s="170"/>
      <c r="G465" s="110">
        <f>G466</f>
        <v>62800</v>
      </c>
      <c r="H465" s="110">
        <f t="shared" ref="H465:I465" si="276">H466</f>
        <v>72524.42</v>
      </c>
      <c r="I465" s="110">
        <f t="shared" si="276"/>
        <v>72524.42</v>
      </c>
      <c r="J465" s="115">
        <f t="shared" si="275"/>
        <v>100</v>
      </c>
    </row>
    <row r="466" spans="1:10">
      <c r="A466" s="182">
        <v>454</v>
      </c>
      <c r="B466" s="176" t="s">
        <v>519</v>
      </c>
      <c r="C466" s="175" t="s">
        <v>163</v>
      </c>
      <c r="D466" s="175" t="s">
        <v>116</v>
      </c>
      <c r="E466" s="34"/>
      <c r="F466" s="170"/>
      <c r="G466" s="110">
        <f>G467</f>
        <v>62800</v>
      </c>
      <c r="H466" s="110">
        <f t="shared" ref="H466:I466" si="277">H467</f>
        <v>72524.42</v>
      </c>
      <c r="I466" s="110">
        <f t="shared" si="277"/>
        <v>72524.42</v>
      </c>
      <c r="J466" s="115">
        <f t="shared" si="275"/>
        <v>100</v>
      </c>
    </row>
    <row r="467" spans="1:10" ht="61.15" customHeight="1">
      <c r="A467" s="182">
        <v>455</v>
      </c>
      <c r="B467" s="176" t="s">
        <v>520</v>
      </c>
      <c r="C467" s="175" t="s">
        <v>163</v>
      </c>
      <c r="D467" s="175" t="s">
        <v>116</v>
      </c>
      <c r="E467" s="34" t="s">
        <v>515</v>
      </c>
      <c r="F467" s="170"/>
      <c r="G467" s="110">
        <f>G468</f>
        <v>62800</v>
      </c>
      <c r="H467" s="110">
        <f t="shared" ref="H467:I467" si="278">H468</f>
        <v>72524.42</v>
      </c>
      <c r="I467" s="110">
        <f t="shared" si="278"/>
        <v>72524.42</v>
      </c>
      <c r="J467" s="115">
        <f t="shared" si="275"/>
        <v>100</v>
      </c>
    </row>
    <row r="468" spans="1:10" ht="24" customHeight="1">
      <c r="A468" s="182">
        <v>456</v>
      </c>
      <c r="B468" s="176" t="s">
        <v>512</v>
      </c>
      <c r="C468" s="175" t="s">
        <v>163</v>
      </c>
      <c r="D468" s="175" t="s">
        <v>116</v>
      </c>
      <c r="E468" s="34" t="s">
        <v>515</v>
      </c>
      <c r="F468" s="170">
        <v>600</v>
      </c>
      <c r="G468" s="110">
        <f>G469</f>
        <v>62800</v>
      </c>
      <c r="H468" s="110">
        <f t="shared" ref="H468:I468" si="279">H469</f>
        <v>72524.42</v>
      </c>
      <c r="I468" s="110">
        <f t="shared" si="279"/>
        <v>72524.42</v>
      </c>
      <c r="J468" s="115">
        <f t="shared" si="275"/>
        <v>100</v>
      </c>
    </row>
    <row r="469" spans="1:10">
      <c r="A469" s="182">
        <v>457</v>
      </c>
      <c r="B469" s="176" t="s">
        <v>513</v>
      </c>
      <c r="C469" s="175" t="s">
        <v>163</v>
      </c>
      <c r="D469" s="175" t="s">
        <v>116</v>
      </c>
      <c r="E469" s="34" t="s">
        <v>515</v>
      </c>
      <c r="F469" s="170">
        <v>610</v>
      </c>
      <c r="G469" s="110">
        <v>62800</v>
      </c>
      <c r="H469" s="29">
        <v>72524.42</v>
      </c>
      <c r="I469" s="115">
        <v>72524.42</v>
      </c>
      <c r="J469" s="115">
        <f t="shared" si="275"/>
        <v>100</v>
      </c>
    </row>
    <row r="470" spans="1:10">
      <c r="A470" s="182">
        <v>458</v>
      </c>
      <c r="B470" s="177" t="s">
        <v>159</v>
      </c>
      <c r="C470" s="175">
        <v>951</v>
      </c>
      <c r="D470" s="175" t="s">
        <v>165</v>
      </c>
      <c r="E470" s="112"/>
      <c r="F470" s="170"/>
      <c r="G470" s="29">
        <f t="shared" ref="G470:I470" si="280">G471</f>
        <v>32792644</v>
      </c>
      <c r="H470" s="29">
        <f t="shared" si="280"/>
        <v>32792644</v>
      </c>
      <c r="I470" s="29">
        <f t="shared" si="280"/>
        <v>32012934.169999998</v>
      </c>
      <c r="J470" s="115">
        <f t="shared" si="275"/>
        <v>97.622302642019349</v>
      </c>
    </row>
    <row r="471" spans="1:10" ht="30">
      <c r="A471" s="182">
        <v>459</v>
      </c>
      <c r="B471" s="171" t="s">
        <v>53</v>
      </c>
      <c r="C471" s="175" t="s">
        <v>163</v>
      </c>
      <c r="D471" s="175" t="s">
        <v>165</v>
      </c>
      <c r="E471" s="34" t="s">
        <v>182</v>
      </c>
      <c r="F471" s="170"/>
      <c r="G471" s="29">
        <f t="shared" ref="G471:H471" si="281">G472+G476</f>
        <v>32792644</v>
      </c>
      <c r="H471" s="29">
        <f t="shared" si="281"/>
        <v>32792644</v>
      </c>
      <c r="I471" s="29">
        <f t="shared" ref="I471" si="282">I472+I476</f>
        <v>32012934.169999998</v>
      </c>
      <c r="J471" s="115">
        <f t="shared" si="275"/>
        <v>97.622302642019349</v>
      </c>
    </row>
    <row r="472" spans="1:10">
      <c r="A472" s="182">
        <v>460</v>
      </c>
      <c r="B472" s="171" t="s">
        <v>134</v>
      </c>
      <c r="C472" s="175" t="s">
        <v>163</v>
      </c>
      <c r="D472" s="175" t="s">
        <v>165</v>
      </c>
      <c r="E472" s="34" t="s">
        <v>197</v>
      </c>
      <c r="F472" s="170"/>
      <c r="G472" s="29">
        <f t="shared" ref="G472:I473" si="283">G473</f>
        <v>2463200</v>
      </c>
      <c r="H472" s="29">
        <f t="shared" si="283"/>
        <v>2463200</v>
      </c>
      <c r="I472" s="29">
        <f t="shared" si="283"/>
        <v>2454500</v>
      </c>
      <c r="J472" s="115">
        <f t="shared" si="275"/>
        <v>99.646800909386172</v>
      </c>
    </row>
    <row r="473" spans="1:10" ht="105">
      <c r="A473" s="182">
        <v>461</v>
      </c>
      <c r="B473" s="174" t="s">
        <v>338</v>
      </c>
      <c r="C473" s="175">
        <v>951</v>
      </c>
      <c r="D473" s="175" t="s">
        <v>165</v>
      </c>
      <c r="E473" s="34" t="s">
        <v>200</v>
      </c>
      <c r="F473" s="170"/>
      <c r="G473" s="29">
        <f t="shared" ref="G473:I474" si="284">G474</f>
        <v>2463200</v>
      </c>
      <c r="H473" s="29">
        <f t="shared" si="283"/>
        <v>2463200</v>
      </c>
      <c r="I473" s="29">
        <f t="shared" si="283"/>
        <v>2454500</v>
      </c>
      <c r="J473" s="115">
        <f t="shared" si="275"/>
        <v>99.646800909386172</v>
      </c>
    </row>
    <row r="474" spans="1:10" ht="30">
      <c r="A474" s="182">
        <v>462</v>
      </c>
      <c r="B474" s="176" t="s">
        <v>48</v>
      </c>
      <c r="C474" s="175">
        <v>951</v>
      </c>
      <c r="D474" s="175" t="s">
        <v>165</v>
      </c>
      <c r="E474" s="34" t="s">
        <v>200</v>
      </c>
      <c r="F474" s="170">
        <v>600</v>
      </c>
      <c r="G474" s="29">
        <f t="shared" si="284"/>
        <v>2463200</v>
      </c>
      <c r="H474" s="29">
        <f t="shared" si="284"/>
        <v>2463200</v>
      </c>
      <c r="I474" s="29">
        <f t="shared" si="284"/>
        <v>2454500</v>
      </c>
      <c r="J474" s="115">
        <f t="shared" si="275"/>
        <v>99.646800909386172</v>
      </c>
    </row>
    <row r="475" spans="1:10">
      <c r="A475" s="182">
        <v>463</v>
      </c>
      <c r="B475" s="176" t="s">
        <v>66</v>
      </c>
      <c r="C475" s="175">
        <v>951</v>
      </c>
      <c r="D475" s="175" t="s">
        <v>165</v>
      </c>
      <c r="E475" s="34" t="s">
        <v>200</v>
      </c>
      <c r="F475" s="170">
        <v>610</v>
      </c>
      <c r="G475" s="29">
        <f>3430211.77-1071011.77+72800+22500+8700</f>
        <v>2463200</v>
      </c>
      <c r="H475" s="29">
        <v>2463200</v>
      </c>
      <c r="I475" s="115">
        <v>2454500</v>
      </c>
      <c r="J475" s="115">
        <f t="shared" si="275"/>
        <v>99.646800909386172</v>
      </c>
    </row>
    <row r="476" spans="1:10">
      <c r="A476" s="182">
        <v>464</v>
      </c>
      <c r="B476" s="171" t="s">
        <v>135</v>
      </c>
      <c r="C476" s="175">
        <v>951</v>
      </c>
      <c r="D476" s="175" t="s">
        <v>165</v>
      </c>
      <c r="E476" s="34" t="s">
        <v>201</v>
      </c>
      <c r="F476" s="170"/>
      <c r="G476" s="29">
        <f>G477+G480+G487</f>
        <v>30329444</v>
      </c>
      <c r="H476" s="29">
        <f t="shared" ref="H476:I476" si="285">H477+H480+H487</f>
        <v>30329444</v>
      </c>
      <c r="I476" s="29">
        <f t="shared" si="285"/>
        <v>29558434.169999998</v>
      </c>
      <c r="J476" s="115">
        <f t="shared" si="275"/>
        <v>97.457883402016847</v>
      </c>
    </row>
    <row r="477" spans="1:10" ht="45">
      <c r="A477" s="182">
        <v>465</v>
      </c>
      <c r="B477" s="176" t="s">
        <v>342</v>
      </c>
      <c r="C477" s="175">
        <v>951</v>
      </c>
      <c r="D477" s="175" t="s">
        <v>165</v>
      </c>
      <c r="E477" s="34" t="s">
        <v>202</v>
      </c>
      <c r="F477" s="170"/>
      <c r="G477" s="29">
        <f t="shared" ref="G477:I478" si="286">G478</f>
        <v>24553494.329999998</v>
      </c>
      <c r="H477" s="29">
        <f t="shared" si="286"/>
        <v>24553494.329999998</v>
      </c>
      <c r="I477" s="29">
        <f t="shared" si="286"/>
        <v>24095757.899999999</v>
      </c>
      <c r="J477" s="115">
        <f t="shared" si="275"/>
        <v>98.135758504072768</v>
      </c>
    </row>
    <row r="478" spans="1:10" ht="30">
      <c r="A478" s="182">
        <v>466</v>
      </c>
      <c r="B478" s="176" t="s">
        <v>48</v>
      </c>
      <c r="C478" s="175">
        <v>951</v>
      </c>
      <c r="D478" s="175" t="s">
        <v>165</v>
      </c>
      <c r="E478" s="34" t="s">
        <v>202</v>
      </c>
      <c r="F478" s="170">
        <v>600</v>
      </c>
      <c r="G478" s="29">
        <f t="shared" si="286"/>
        <v>24553494.329999998</v>
      </c>
      <c r="H478" s="29">
        <f t="shared" si="286"/>
        <v>24553494.329999998</v>
      </c>
      <c r="I478" s="29">
        <f t="shared" si="286"/>
        <v>24095757.899999999</v>
      </c>
      <c r="J478" s="115">
        <f t="shared" si="275"/>
        <v>98.135758504072768</v>
      </c>
    </row>
    <row r="479" spans="1:10">
      <c r="A479" s="182">
        <v>467</v>
      </c>
      <c r="B479" s="176" t="s">
        <v>66</v>
      </c>
      <c r="C479" s="175">
        <v>951</v>
      </c>
      <c r="D479" s="175" t="s">
        <v>165</v>
      </c>
      <c r="E479" s="34" t="s">
        <v>202</v>
      </c>
      <c r="F479" s="170">
        <v>610</v>
      </c>
      <c r="G479" s="29">
        <f>22800890+145931.4+9097.33+1479775.6+117800</f>
        <v>24553494.329999998</v>
      </c>
      <c r="H479" s="29">
        <v>24553494.329999998</v>
      </c>
      <c r="I479" s="115">
        <v>24095757.899999999</v>
      </c>
      <c r="J479" s="115">
        <f t="shared" si="275"/>
        <v>98.135758504072768</v>
      </c>
    </row>
    <row r="480" spans="1:10" ht="30">
      <c r="A480" s="182">
        <v>468</v>
      </c>
      <c r="B480" s="176" t="s">
        <v>455</v>
      </c>
      <c r="C480" s="175" t="s">
        <v>163</v>
      </c>
      <c r="D480" s="175" t="s">
        <v>165</v>
      </c>
      <c r="E480" s="34" t="s">
        <v>430</v>
      </c>
      <c r="F480" s="170"/>
      <c r="G480" s="29">
        <f t="shared" ref="G480:I480" si="287">G481+G485</f>
        <v>4685683</v>
      </c>
      <c r="H480" s="29">
        <f t="shared" si="287"/>
        <v>4685683</v>
      </c>
      <c r="I480" s="29">
        <f t="shared" si="287"/>
        <v>4402775.46</v>
      </c>
      <c r="J480" s="115">
        <f t="shared" si="275"/>
        <v>93.962298772665591</v>
      </c>
    </row>
    <row r="481" spans="1:10" ht="30">
      <c r="A481" s="182">
        <v>469</v>
      </c>
      <c r="B481" s="176" t="s">
        <v>48</v>
      </c>
      <c r="C481" s="175" t="s">
        <v>163</v>
      </c>
      <c r="D481" s="175" t="s">
        <v>165</v>
      </c>
      <c r="E481" s="34" t="s">
        <v>430</v>
      </c>
      <c r="F481" s="170">
        <v>600</v>
      </c>
      <c r="G481" s="29">
        <f t="shared" ref="G481:I481" si="288">G482+G483+G484</f>
        <v>4669853</v>
      </c>
      <c r="H481" s="29">
        <f t="shared" si="288"/>
        <v>4669853</v>
      </c>
      <c r="I481" s="29">
        <f t="shared" si="288"/>
        <v>4402775.46</v>
      </c>
      <c r="J481" s="115">
        <f t="shared" si="275"/>
        <v>94.280814835070828</v>
      </c>
    </row>
    <row r="482" spans="1:10">
      <c r="A482" s="182">
        <v>470</v>
      </c>
      <c r="B482" s="176" t="s">
        <v>66</v>
      </c>
      <c r="C482" s="175" t="s">
        <v>163</v>
      </c>
      <c r="D482" s="175" t="s">
        <v>165</v>
      </c>
      <c r="E482" s="34" t="s">
        <v>430</v>
      </c>
      <c r="F482" s="170">
        <v>610</v>
      </c>
      <c r="G482" s="29">
        <f>4638193</f>
        <v>4638193</v>
      </c>
      <c r="H482" s="29">
        <v>4638193</v>
      </c>
      <c r="I482" s="115">
        <v>4402775.46</v>
      </c>
      <c r="J482" s="115">
        <f t="shared" si="275"/>
        <v>94.924369468885843</v>
      </c>
    </row>
    <row r="483" spans="1:10">
      <c r="A483" s="182">
        <v>471</v>
      </c>
      <c r="B483" s="176" t="s">
        <v>431</v>
      </c>
      <c r="C483" s="175" t="s">
        <v>163</v>
      </c>
      <c r="D483" s="175" t="s">
        <v>165</v>
      </c>
      <c r="E483" s="34" t="s">
        <v>430</v>
      </c>
      <c r="F483" s="170">
        <v>620</v>
      </c>
      <c r="G483" s="29">
        <v>15830</v>
      </c>
      <c r="H483" s="29">
        <v>15830</v>
      </c>
      <c r="I483" s="115">
        <v>0</v>
      </c>
      <c r="J483" s="115">
        <f t="shared" si="275"/>
        <v>0</v>
      </c>
    </row>
    <row r="484" spans="1:10" ht="30">
      <c r="A484" s="182">
        <v>472</v>
      </c>
      <c r="B484" s="177" t="s">
        <v>456</v>
      </c>
      <c r="C484" s="175" t="s">
        <v>163</v>
      </c>
      <c r="D484" s="175" t="s">
        <v>165</v>
      </c>
      <c r="E484" s="34" t="s">
        <v>430</v>
      </c>
      <c r="F484" s="170">
        <v>630</v>
      </c>
      <c r="G484" s="29">
        <v>15830</v>
      </c>
      <c r="H484" s="29">
        <v>15830</v>
      </c>
      <c r="I484" s="115">
        <v>0</v>
      </c>
      <c r="J484" s="115">
        <f t="shared" si="275"/>
        <v>0</v>
      </c>
    </row>
    <row r="485" spans="1:10">
      <c r="A485" s="182">
        <v>473</v>
      </c>
      <c r="B485" s="176" t="s">
        <v>432</v>
      </c>
      <c r="C485" s="175" t="s">
        <v>163</v>
      </c>
      <c r="D485" s="175" t="s">
        <v>165</v>
      </c>
      <c r="E485" s="34" t="s">
        <v>430</v>
      </c>
      <c r="F485" s="170">
        <v>800</v>
      </c>
      <c r="G485" s="29">
        <f>G486</f>
        <v>15830</v>
      </c>
      <c r="H485" s="29">
        <f t="shared" ref="H485:I485" si="289">H486</f>
        <v>15830</v>
      </c>
      <c r="I485" s="29">
        <f t="shared" si="289"/>
        <v>0</v>
      </c>
      <c r="J485" s="115">
        <f t="shared" si="275"/>
        <v>0</v>
      </c>
    </row>
    <row r="486" spans="1:10" ht="33" customHeight="1">
      <c r="A486" s="182">
        <v>474</v>
      </c>
      <c r="B486" s="176" t="s">
        <v>433</v>
      </c>
      <c r="C486" s="175" t="s">
        <v>163</v>
      </c>
      <c r="D486" s="175" t="s">
        <v>165</v>
      </c>
      <c r="E486" s="34" t="s">
        <v>430</v>
      </c>
      <c r="F486" s="170">
        <v>810</v>
      </c>
      <c r="G486" s="29">
        <v>15830</v>
      </c>
      <c r="H486" s="29">
        <v>15830</v>
      </c>
      <c r="I486" s="29">
        <v>0</v>
      </c>
      <c r="J486" s="115">
        <f t="shared" si="275"/>
        <v>0</v>
      </c>
    </row>
    <row r="487" spans="1:10" ht="60" customHeight="1">
      <c r="A487" s="182">
        <v>475</v>
      </c>
      <c r="B487" s="176" t="s">
        <v>550</v>
      </c>
      <c r="C487" s="175" t="s">
        <v>163</v>
      </c>
      <c r="D487" s="175" t="s">
        <v>165</v>
      </c>
      <c r="E487" s="34" t="s">
        <v>549</v>
      </c>
      <c r="F487" s="170"/>
      <c r="G487" s="29">
        <f>G488</f>
        <v>1090266.67</v>
      </c>
      <c r="H487" s="29">
        <f t="shared" ref="H487:I487" si="290">H488</f>
        <v>1090266.67</v>
      </c>
      <c r="I487" s="29">
        <f t="shared" si="290"/>
        <v>1059900.81</v>
      </c>
      <c r="J487" s="115">
        <f t="shared" si="275"/>
        <v>97.214822681867375</v>
      </c>
    </row>
    <row r="488" spans="1:10" ht="33" customHeight="1">
      <c r="A488" s="182">
        <v>476</v>
      </c>
      <c r="B488" s="176" t="s">
        <v>512</v>
      </c>
      <c r="C488" s="175" t="s">
        <v>163</v>
      </c>
      <c r="D488" s="175" t="s">
        <v>165</v>
      </c>
      <c r="E488" s="34" t="s">
        <v>549</v>
      </c>
      <c r="F488" s="170">
        <v>600</v>
      </c>
      <c r="G488" s="29">
        <f>G489</f>
        <v>1090266.67</v>
      </c>
      <c r="H488" s="29">
        <f t="shared" ref="H488:I488" si="291">H489</f>
        <v>1090266.67</v>
      </c>
      <c r="I488" s="29">
        <f t="shared" si="291"/>
        <v>1059900.81</v>
      </c>
      <c r="J488" s="115">
        <f t="shared" si="275"/>
        <v>97.214822681867375</v>
      </c>
    </row>
    <row r="489" spans="1:10" ht="33" customHeight="1">
      <c r="A489" s="182">
        <v>477</v>
      </c>
      <c r="B489" s="176" t="s">
        <v>513</v>
      </c>
      <c r="C489" s="175" t="s">
        <v>163</v>
      </c>
      <c r="D489" s="175" t="s">
        <v>165</v>
      </c>
      <c r="E489" s="34" t="s">
        <v>549</v>
      </c>
      <c r="F489" s="170">
        <v>610</v>
      </c>
      <c r="G489" s="29">
        <f>1079364+10902.67</f>
        <v>1090266.67</v>
      </c>
      <c r="H489" s="29">
        <v>1090266.67</v>
      </c>
      <c r="I489" s="29">
        <v>1059900.81</v>
      </c>
      <c r="J489" s="115">
        <f t="shared" si="275"/>
        <v>97.214822681867375</v>
      </c>
    </row>
    <row r="490" spans="1:10">
      <c r="A490" s="182">
        <v>478</v>
      </c>
      <c r="B490" s="176" t="s">
        <v>52</v>
      </c>
      <c r="C490" s="175">
        <v>951</v>
      </c>
      <c r="D490" s="175" t="s">
        <v>118</v>
      </c>
      <c r="E490" s="112"/>
      <c r="F490" s="170"/>
      <c r="G490" s="29">
        <f t="shared" ref="G490:I492" si="292">G491</f>
        <v>26332913.710000001</v>
      </c>
      <c r="H490" s="29">
        <f t="shared" si="292"/>
        <v>26332913.710000001</v>
      </c>
      <c r="I490" s="29">
        <f t="shared" si="292"/>
        <v>26185253.880000003</v>
      </c>
      <c r="J490" s="115">
        <f t="shared" si="275"/>
        <v>99.439257532887737</v>
      </c>
    </row>
    <row r="491" spans="1:10" ht="30">
      <c r="A491" s="182">
        <v>479</v>
      </c>
      <c r="B491" s="171" t="s">
        <v>53</v>
      </c>
      <c r="C491" s="175">
        <v>951</v>
      </c>
      <c r="D491" s="175" t="s">
        <v>118</v>
      </c>
      <c r="E491" s="34" t="s">
        <v>182</v>
      </c>
      <c r="F491" s="170"/>
      <c r="G491" s="29">
        <f t="shared" si="292"/>
        <v>26332913.710000001</v>
      </c>
      <c r="H491" s="29">
        <f t="shared" si="292"/>
        <v>26332913.710000001</v>
      </c>
      <c r="I491" s="29">
        <f t="shared" si="292"/>
        <v>26185253.880000003</v>
      </c>
      <c r="J491" s="115">
        <f t="shared" si="275"/>
        <v>99.439257532887737</v>
      </c>
    </row>
    <row r="492" spans="1:10">
      <c r="A492" s="182">
        <v>480</v>
      </c>
      <c r="B492" s="171" t="s">
        <v>54</v>
      </c>
      <c r="C492" s="175">
        <v>951</v>
      </c>
      <c r="D492" s="175" t="s">
        <v>118</v>
      </c>
      <c r="E492" s="34" t="s">
        <v>183</v>
      </c>
      <c r="F492" s="170"/>
      <c r="G492" s="29">
        <f>G493</f>
        <v>26332913.710000001</v>
      </c>
      <c r="H492" s="29">
        <f t="shared" si="292"/>
        <v>26332913.710000001</v>
      </c>
      <c r="I492" s="29">
        <f t="shared" si="292"/>
        <v>26185253.880000003</v>
      </c>
      <c r="J492" s="115">
        <f t="shared" si="275"/>
        <v>99.439257532887737</v>
      </c>
    </row>
    <row r="493" spans="1:10" ht="45">
      <c r="A493" s="182">
        <v>481</v>
      </c>
      <c r="B493" s="171" t="s">
        <v>339</v>
      </c>
      <c r="C493" s="175">
        <v>951</v>
      </c>
      <c r="D493" s="175" t="s">
        <v>118</v>
      </c>
      <c r="E493" s="34" t="s">
        <v>203</v>
      </c>
      <c r="F493" s="170"/>
      <c r="G493" s="29">
        <f>G494+G496+G500+G498</f>
        <v>26332913.710000001</v>
      </c>
      <c r="H493" s="29">
        <f t="shared" ref="H493:I493" si="293">H494+H496+H500+H498</f>
        <v>26332913.710000001</v>
      </c>
      <c r="I493" s="29">
        <f t="shared" si="293"/>
        <v>26185253.880000003</v>
      </c>
      <c r="J493" s="115">
        <f t="shared" si="275"/>
        <v>99.439257532887737</v>
      </c>
    </row>
    <row r="494" spans="1:10" ht="45">
      <c r="A494" s="182">
        <v>482</v>
      </c>
      <c r="B494" s="176" t="s">
        <v>14</v>
      </c>
      <c r="C494" s="175">
        <v>951</v>
      </c>
      <c r="D494" s="175" t="s">
        <v>118</v>
      </c>
      <c r="E494" s="34" t="s">
        <v>203</v>
      </c>
      <c r="F494" s="170">
        <v>100</v>
      </c>
      <c r="G494" s="29">
        <f t="shared" ref="G494" si="294">G495</f>
        <v>23115241.98</v>
      </c>
      <c r="H494" s="29">
        <f t="shared" ref="H494:I494" si="295">H495</f>
        <v>23115241.98</v>
      </c>
      <c r="I494" s="29">
        <f t="shared" si="295"/>
        <v>23035720.390000001</v>
      </c>
      <c r="J494" s="115">
        <f t="shared" si="275"/>
        <v>99.655977687498137</v>
      </c>
    </row>
    <row r="495" spans="1:10">
      <c r="A495" s="182">
        <v>483</v>
      </c>
      <c r="B495" s="176" t="s">
        <v>62</v>
      </c>
      <c r="C495" s="175">
        <v>951</v>
      </c>
      <c r="D495" s="175" t="s">
        <v>118</v>
      </c>
      <c r="E495" s="34" t="s">
        <v>203</v>
      </c>
      <c r="F495" s="170">
        <v>110</v>
      </c>
      <c r="G495" s="29">
        <f>22297550.23-260400+573312.9-4885.44+165168.67+302895.62+41600</f>
        <v>23115241.98</v>
      </c>
      <c r="H495" s="29">
        <v>23115241.98</v>
      </c>
      <c r="I495" s="115">
        <v>23035720.390000001</v>
      </c>
      <c r="J495" s="115">
        <f t="shared" si="275"/>
        <v>99.655977687498137</v>
      </c>
    </row>
    <row r="496" spans="1:10">
      <c r="A496" s="182">
        <v>484</v>
      </c>
      <c r="B496" s="176" t="s">
        <v>19</v>
      </c>
      <c r="C496" s="175">
        <v>951</v>
      </c>
      <c r="D496" s="175" t="s">
        <v>118</v>
      </c>
      <c r="E496" s="34" t="s">
        <v>203</v>
      </c>
      <c r="F496" s="170">
        <v>200</v>
      </c>
      <c r="G496" s="29">
        <f t="shared" ref="G496:I496" si="296">G497</f>
        <v>3162786.29</v>
      </c>
      <c r="H496" s="29">
        <f t="shared" si="296"/>
        <v>3162786.29</v>
      </c>
      <c r="I496" s="29">
        <f t="shared" si="296"/>
        <v>3127138.34</v>
      </c>
      <c r="J496" s="115">
        <f t="shared" si="275"/>
        <v>98.872894127791341</v>
      </c>
    </row>
    <row r="497" spans="1:10">
      <c r="A497" s="182">
        <v>485</v>
      </c>
      <c r="B497" s="176" t="s">
        <v>20</v>
      </c>
      <c r="C497" s="175">
        <v>951</v>
      </c>
      <c r="D497" s="175" t="s">
        <v>118</v>
      </c>
      <c r="E497" s="34" t="s">
        <v>203</v>
      </c>
      <c r="F497" s="170">
        <v>240</v>
      </c>
      <c r="G497" s="29">
        <f>3087789.77+74996.52</f>
        <v>3162786.29</v>
      </c>
      <c r="H497" s="29">
        <v>3162786.29</v>
      </c>
      <c r="I497" s="115">
        <v>3127138.34</v>
      </c>
      <c r="J497" s="115">
        <f t="shared" si="275"/>
        <v>98.872894127791341</v>
      </c>
    </row>
    <row r="498" spans="1:10">
      <c r="A498" s="182">
        <v>486</v>
      </c>
      <c r="B498" s="176" t="s">
        <v>547</v>
      </c>
      <c r="C498" s="175" t="s">
        <v>163</v>
      </c>
      <c r="D498" s="175" t="s">
        <v>118</v>
      </c>
      <c r="E498" s="34" t="s">
        <v>203</v>
      </c>
      <c r="F498" s="170">
        <v>300</v>
      </c>
      <c r="G498" s="29">
        <f>G499</f>
        <v>4885.4399999999996</v>
      </c>
      <c r="H498" s="29">
        <f t="shared" ref="H498:I498" si="297">H499</f>
        <v>4885.4399999999996</v>
      </c>
      <c r="I498" s="29">
        <f t="shared" si="297"/>
        <v>4885.4399999999996</v>
      </c>
      <c r="J498" s="115">
        <f t="shared" si="275"/>
        <v>100</v>
      </c>
    </row>
    <row r="499" spans="1:10">
      <c r="A499" s="182">
        <v>487</v>
      </c>
      <c r="B499" s="176" t="s">
        <v>548</v>
      </c>
      <c r="C499" s="175" t="s">
        <v>163</v>
      </c>
      <c r="D499" s="175" t="s">
        <v>118</v>
      </c>
      <c r="E499" s="34" t="s">
        <v>203</v>
      </c>
      <c r="F499" s="170">
        <v>320</v>
      </c>
      <c r="G499" s="29">
        <v>4885.4399999999996</v>
      </c>
      <c r="H499" s="29">
        <v>4885.4399999999996</v>
      </c>
      <c r="I499" s="115">
        <v>4885.4399999999996</v>
      </c>
      <c r="J499" s="115">
        <f t="shared" si="275"/>
        <v>100</v>
      </c>
    </row>
    <row r="500" spans="1:10">
      <c r="A500" s="182">
        <v>488</v>
      </c>
      <c r="B500" s="176" t="s">
        <v>31</v>
      </c>
      <c r="C500" s="175">
        <v>951</v>
      </c>
      <c r="D500" s="175" t="s">
        <v>118</v>
      </c>
      <c r="E500" s="34" t="s">
        <v>203</v>
      </c>
      <c r="F500" s="170">
        <v>800</v>
      </c>
      <c r="G500" s="29">
        <f>G501+G502</f>
        <v>50000</v>
      </c>
      <c r="H500" s="29">
        <f>H501+H502</f>
        <v>50000</v>
      </c>
      <c r="I500" s="29">
        <f>I501+I502</f>
        <v>17509.71</v>
      </c>
      <c r="J500" s="115">
        <f t="shared" si="275"/>
        <v>35.019419999999997</v>
      </c>
    </row>
    <row r="501" spans="1:10">
      <c r="A501" s="182">
        <v>489</v>
      </c>
      <c r="B501" s="31" t="s">
        <v>37</v>
      </c>
      <c r="C501" s="175">
        <v>951</v>
      </c>
      <c r="D501" s="175" t="s">
        <v>118</v>
      </c>
      <c r="E501" s="34" t="s">
        <v>203</v>
      </c>
      <c r="F501" s="170">
        <v>830</v>
      </c>
      <c r="G501" s="29">
        <f>5000+5728.08</f>
        <v>10728.08</v>
      </c>
      <c r="H501" s="29">
        <v>10728.08</v>
      </c>
      <c r="I501" s="115">
        <v>5728.08</v>
      </c>
      <c r="J501" s="115">
        <f t="shared" si="275"/>
        <v>53.393337857286674</v>
      </c>
    </row>
    <row r="502" spans="1:10">
      <c r="A502" s="182">
        <v>490</v>
      </c>
      <c r="B502" s="176" t="s">
        <v>79</v>
      </c>
      <c r="C502" s="175">
        <v>951</v>
      </c>
      <c r="D502" s="175" t="s">
        <v>118</v>
      </c>
      <c r="E502" s="34" t="s">
        <v>203</v>
      </c>
      <c r="F502" s="170">
        <v>850</v>
      </c>
      <c r="G502" s="29">
        <f>45000-5728.08</f>
        <v>39271.919999999998</v>
      </c>
      <c r="H502" s="29">
        <v>39271.919999999998</v>
      </c>
      <c r="I502" s="115">
        <v>11781.63</v>
      </c>
      <c r="J502" s="115">
        <f t="shared" si="275"/>
        <v>30.000137502826448</v>
      </c>
    </row>
    <row r="503" spans="1:10">
      <c r="A503" s="182">
        <v>491</v>
      </c>
      <c r="B503" s="64" t="s">
        <v>123</v>
      </c>
      <c r="C503" s="65" t="s">
        <v>163</v>
      </c>
      <c r="D503" s="65" t="s">
        <v>124</v>
      </c>
      <c r="E503" s="127"/>
      <c r="F503" s="170"/>
      <c r="G503" s="29">
        <f>G504+G515</f>
        <v>16550993.619999999</v>
      </c>
      <c r="H503" s="29">
        <f t="shared" ref="H503:I503" si="298">H504+H515</f>
        <v>16550993.619999999</v>
      </c>
      <c r="I503" s="29">
        <f t="shared" si="298"/>
        <v>15299174.949999997</v>
      </c>
      <c r="J503" s="115">
        <f t="shared" si="275"/>
        <v>92.436595054406155</v>
      </c>
    </row>
    <row r="504" spans="1:10">
      <c r="A504" s="182">
        <v>492</v>
      </c>
      <c r="B504" s="171" t="s">
        <v>77</v>
      </c>
      <c r="C504" s="65" t="s">
        <v>163</v>
      </c>
      <c r="D504" s="65" t="s">
        <v>126</v>
      </c>
      <c r="E504" s="127"/>
      <c r="F504" s="170"/>
      <c r="G504" s="29">
        <f t="shared" ref="G504:I505" si="299">G505</f>
        <v>15862893.619999999</v>
      </c>
      <c r="H504" s="29">
        <f t="shared" si="299"/>
        <v>15862893.619999999</v>
      </c>
      <c r="I504" s="29">
        <f t="shared" si="299"/>
        <v>14742134.669999998</v>
      </c>
      <c r="J504" s="115">
        <f t="shared" si="275"/>
        <v>92.934713067816688</v>
      </c>
    </row>
    <row r="505" spans="1:10" ht="30">
      <c r="A505" s="182">
        <v>493</v>
      </c>
      <c r="B505" s="171" t="s">
        <v>53</v>
      </c>
      <c r="C505" s="65" t="s">
        <v>163</v>
      </c>
      <c r="D505" s="65" t="s">
        <v>126</v>
      </c>
      <c r="E505" s="126" t="s">
        <v>182</v>
      </c>
      <c r="F505" s="170"/>
      <c r="G505" s="29">
        <f t="shared" si="299"/>
        <v>15862893.619999999</v>
      </c>
      <c r="H505" s="29">
        <f t="shared" si="299"/>
        <v>15862893.619999999</v>
      </c>
      <c r="I505" s="29">
        <f t="shared" si="299"/>
        <v>14742134.669999998</v>
      </c>
      <c r="J505" s="115">
        <f t="shared" si="275"/>
        <v>92.934713067816688</v>
      </c>
    </row>
    <row r="506" spans="1:10">
      <c r="A506" s="182">
        <v>494</v>
      </c>
      <c r="B506" s="171" t="s">
        <v>134</v>
      </c>
      <c r="C506" s="65">
        <v>951</v>
      </c>
      <c r="D506" s="65" t="s">
        <v>126</v>
      </c>
      <c r="E506" s="126" t="s">
        <v>197</v>
      </c>
      <c r="F506" s="170"/>
      <c r="G506" s="29">
        <f t="shared" ref="G506" si="300">G507+G512</f>
        <v>15862893.619999999</v>
      </c>
      <c r="H506" s="29">
        <f>H507+H512</f>
        <v>15862893.619999999</v>
      </c>
      <c r="I506" s="29">
        <f>I507+I512</f>
        <v>14742134.669999998</v>
      </c>
      <c r="J506" s="115">
        <f t="shared" si="275"/>
        <v>92.934713067816688</v>
      </c>
    </row>
    <row r="507" spans="1:10" ht="90">
      <c r="A507" s="182">
        <v>495</v>
      </c>
      <c r="B507" s="173" t="s">
        <v>341</v>
      </c>
      <c r="C507" s="65">
        <v>951</v>
      </c>
      <c r="D507" s="65" t="s">
        <v>126</v>
      </c>
      <c r="E507" s="126" t="s">
        <v>205</v>
      </c>
      <c r="F507" s="170"/>
      <c r="G507" s="29">
        <f t="shared" ref="G507" si="301">G508+G510</f>
        <v>5076300</v>
      </c>
      <c r="H507" s="29">
        <f>H508+H510</f>
        <v>5076300</v>
      </c>
      <c r="I507" s="29">
        <f>I508+I510</f>
        <v>4491346.88</v>
      </c>
      <c r="J507" s="115">
        <f t="shared" si="275"/>
        <v>88.476781908082657</v>
      </c>
    </row>
    <row r="508" spans="1:10">
      <c r="A508" s="182">
        <v>496</v>
      </c>
      <c r="B508" s="176" t="s">
        <v>76</v>
      </c>
      <c r="C508" s="65">
        <v>951</v>
      </c>
      <c r="D508" s="65" t="s">
        <v>126</v>
      </c>
      <c r="E508" s="126" t="s">
        <v>205</v>
      </c>
      <c r="F508" s="170">
        <v>300</v>
      </c>
      <c r="G508" s="29">
        <f t="shared" ref="G508:I508" si="302">G509</f>
        <v>230000</v>
      </c>
      <c r="H508" s="29">
        <f t="shared" si="302"/>
        <v>230000</v>
      </c>
      <c r="I508" s="29">
        <f t="shared" si="302"/>
        <v>163260.29999999999</v>
      </c>
      <c r="J508" s="115">
        <f t="shared" si="275"/>
        <v>70.98273913043478</v>
      </c>
    </row>
    <row r="509" spans="1:10">
      <c r="A509" s="182">
        <v>497</v>
      </c>
      <c r="B509" s="176" t="s">
        <v>80</v>
      </c>
      <c r="C509" s="65">
        <v>951</v>
      </c>
      <c r="D509" s="65" t="s">
        <v>126</v>
      </c>
      <c r="E509" s="126" t="s">
        <v>205</v>
      </c>
      <c r="F509" s="170">
        <v>320</v>
      </c>
      <c r="G509" s="110">
        <v>230000</v>
      </c>
      <c r="H509" s="29">
        <v>230000</v>
      </c>
      <c r="I509" s="115">
        <v>163260.29999999999</v>
      </c>
      <c r="J509" s="115">
        <f t="shared" si="275"/>
        <v>70.98273913043478</v>
      </c>
    </row>
    <row r="510" spans="1:10" ht="30">
      <c r="A510" s="182">
        <v>498</v>
      </c>
      <c r="B510" s="176" t="s">
        <v>48</v>
      </c>
      <c r="C510" s="65">
        <v>951</v>
      </c>
      <c r="D510" s="65" t="s">
        <v>126</v>
      </c>
      <c r="E510" s="126" t="s">
        <v>205</v>
      </c>
      <c r="F510" s="170">
        <v>600</v>
      </c>
      <c r="G510" s="29">
        <f t="shared" ref="G510:I510" si="303">G511</f>
        <v>4846300</v>
      </c>
      <c r="H510" s="29">
        <f t="shared" si="303"/>
        <v>4846300</v>
      </c>
      <c r="I510" s="29">
        <f t="shared" si="303"/>
        <v>4328086.58</v>
      </c>
      <c r="J510" s="115">
        <f t="shared" si="275"/>
        <v>89.307029692755307</v>
      </c>
    </row>
    <row r="511" spans="1:10">
      <c r="A511" s="182">
        <v>499</v>
      </c>
      <c r="B511" s="176" t="s">
        <v>66</v>
      </c>
      <c r="C511" s="65">
        <v>951</v>
      </c>
      <c r="D511" s="65" t="s">
        <v>126</v>
      </c>
      <c r="E511" s="126" t="s">
        <v>205</v>
      </c>
      <c r="F511" s="170">
        <v>610</v>
      </c>
      <c r="G511" s="29">
        <f>9046300-590700-3600000-9300</f>
        <v>4846300</v>
      </c>
      <c r="H511" s="29">
        <v>4846300</v>
      </c>
      <c r="I511" s="115">
        <v>4328086.58</v>
      </c>
      <c r="J511" s="115">
        <f t="shared" si="275"/>
        <v>89.307029692755307</v>
      </c>
    </row>
    <row r="512" spans="1:10" ht="90">
      <c r="A512" s="182">
        <v>500</v>
      </c>
      <c r="B512" s="176" t="s">
        <v>420</v>
      </c>
      <c r="C512" s="175" t="s">
        <v>163</v>
      </c>
      <c r="D512" s="65" t="s">
        <v>126</v>
      </c>
      <c r="E512" s="34" t="s">
        <v>421</v>
      </c>
      <c r="F512" s="170"/>
      <c r="G512" s="29">
        <f t="shared" ref="G512:I513" si="304">G513</f>
        <v>10786593.619999999</v>
      </c>
      <c r="H512" s="29">
        <f t="shared" si="304"/>
        <v>10786593.619999999</v>
      </c>
      <c r="I512" s="29">
        <f t="shared" si="304"/>
        <v>10250787.789999999</v>
      </c>
      <c r="J512" s="115">
        <f t="shared" si="275"/>
        <v>95.03266880281339</v>
      </c>
    </row>
    <row r="513" spans="1:11" ht="30">
      <c r="A513" s="182">
        <v>501</v>
      </c>
      <c r="B513" s="176" t="s">
        <v>48</v>
      </c>
      <c r="C513" s="175" t="s">
        <v>163</v>
      </c>
      <c r="D513" s="65" t="s">
        <v>126</v>
      </c>
      <c r="E513" s="34" t="s">
        <v>421</v>
      </c>
      <c r="F513" s="170">
        <v>600</v>
      </c>
      <c r="G513" s="29">
        <f t="shared" si="304"/>
        <v>10786593.619999999</v>
      </c>
      <c r="H513" s="29">
        <f t="shared" si="304"/>
        <v>10786593.619999999</v>
      </c>
      <c r="I513" s="29">
        <f t="shared" si="304"/>
        <v>10250787.789999999</v>
      </c>
      <c r="J513" s="115">
        <f t="shared" si="275"/>
        <v>95.03266880281339</v>
      </c>
    </row>
    <row r="514" spans="1:11">
      <c r="A514" s="182">
        <v>502</v>
      </c>
      <c r="B514" s="176" t="s">
        <v>66</v>
      </c>
      <c r="C514" s="175" t="s">
        <v>163</v>
      </c>
      <c r="D514" s="65" t="s">
        <v>126</v>
      </c>
      <c r="E514" s="34" t="s">
        <v>421</v>
      </c>
      <c r="F514" s="170">
        <v>610</v>
      </c>
      <c r="G514" s="29">
        <f>11993600-6.4-1206999.98</f>
        <v>10786593.619999999</v>
      </c>
      <c r="H514" s="29">
        <v>10786593.619999999</v>
      </c>
      <c r="I514" s="115">
        <v>10250787.789999999</v>
      </c>
      <c r="J514" s="115">
        <f t="shared" si="275"/>
        <v>95.03266880281339</v>
      </c>
      <c r="K514" s="117"/>
    </row>
    <row r="515" spans="1:11">
      <c r="A515" s="182">
        <v>503</v>
      </c>
      <c r="B515" s="177" t="s">
        <v>57</v>
      </c>
      <c r="C515" s="65" t="s">
        <v>163</v>
      </c>
      <c r="D515" s="65" t="s">
        <v>164</v>
      </c>
      <c r="E515" s="126"/>
      <c r="F515" s="170"/>
      <c r="G515" s="29">
        <f t="shared" ref="G515:I515" si="305">G516</f>
        <v>688100</v>
      </c>
      <c r="H515" s="29">
        <f t="shared" si="305"/>
        <v>688100</v>
      </c>
      <c r="I515" s="29">
        <f t="shared" si="305"/>
        <v>557040.28</v>
      </c>
      <c r="J515" s="115">
        <f t="shared" si="275"/>
        <v>80.953390495567518</v>
      </c>
    </row>
    <row r="516" spans="1:11" ht="30">
      <c r="A516" s="182">
        <v>504</v>
      </c>
      <c r="B516" s="171" t="s">
        <v>53</v>
      </c>
      <c r="C516" s="65" t="s">
        <v>163</v>
      </c>
      <c r="D516" s="65" t="s">
        <v>164</v>
      </c>
      <c r="E516" s="126" t="s">
        <v>182</v>
      </c>
      <c r="F516" s="170"/>
      <c r="G516" s="29">
        <f t="shared" ref="G516:I516" si="306">G517</f>
        <v>688100</v>
      </c>
      <c r="H516" s="29">
        <f t="shared" si="306"/>
        <v>688100</v>
      </c>
      <c r="I516" s="29">
        <f t="shared" si="306"/>
        <v>557040.28</v>
      </c>
      <c r="J516" s="115">
        <f t="shared" si="275"/>
        <v>80.953390495567518</v>
      </c>
    </row>
    <row r="517" spans="1:11">
      <c r="A517" s="182">
        <v>505</v>
      </c>
      <c r="B517" s="171" t="s">
        <v>54</v>
      </c>
      <c r="C517" s="65" t="s">
        <v>163</v>
      </c>
      <c r="D517" s="65" t="s">
        <v>164</v>
      </c>
      <c r="E517" s="126" t="s">
        <v>183</v>
      </c>
      <c r="F517" s="170"/>
      <c r="G517" s="29">
        <f t="shared" ref="G517:I517" si="307">G518</f>
        <v>688100</v>
      </c>
      <c r="H517" s="29">
        <f t="shared" si="307"/>
        <v>688100</v>
      </c>
      <c r="I517" s="29">
        <f t="shared" si="307"/>
        <v>557040.28</v>
      </c>
      <c r="J517" s="115">
        <f t="shared" si="275"/>
        <v>80.953390495567518</v>
      </c>
    </row>
    <row r="518" spans="1:11" ht="75">
      <c r="A518" s="182">
        <v>506</v>
      </c>
      <c r="B518" s="174" t="s">
        <v>340</v>
      </c>
      <c r="C518" s="175">
        <v>951</v>
      </c>
      <c r="D518" s="175" t="s">
        <v>164</v>
      </c>
      <c r="E518" s="34" t="s">
        <v>204</v>
      </c>
      <c r="F518" s="170"/>
      <c r="G518" s="29">
        <f>G519+G521</f>
        <v>688100</v>
      </c>
      <c r="H518" s="29">
        <f>H519+H521</f>
        <v>688100</v>
      </c>
      <c r="I518" s="29">
        <f>I519+I521</f>
        <v>557040.28</v>
      </c>
      <c r="J518" s="115">
        <f t="shared" si="275"/>
        <v>80.953390495567518</v>
      </c>
    </row>
    <row r="519" spans="1:11">
      <c r="A519" s="182">
        <v>507</v>
      </c>
      <c r="B519" s="176" t="s">
        <v>76</v>
      </c>
      <c r="C519" s="175">
        <v>951</v>
      </c>
      <c r="D519" s="175" t="s">
        <v>164</v>
      </c>
      <c r="E519" s="34" t="s">
        <v>204</v>
      </c>
      <c r="F519" s="170">
        <v>300</v>
      </c>
      <c r="G519" s="29">
        <f t="shared" ref="G519:I519" si="308">G520</f>
        <v>668100</v>
      </c>
      <c r="H519" s="29">
        <f t="shared" si="308"/>
        <v>668100</v>
      </c>
      <c r="I519" s="29">
        <f t="shared" si="308"/>
        <v>557040.28</v>
      </c>
      <c r="J519" s="115">
        <f t="shared" si="275"/>
        <v>83.376781918874414</v>
      </c>
    </row>
    <row r="520" spans="1:11">
      <c r="A520" s="182">
        <v>508</v>
      </c>
      <c r="B520" s="176" t="s">
        <v>80</v>
      </c>
      <c r="C520" s="175">
        <v>951</v>
      </c>
      <c r="D520" s="175" t="s">
        <v>164</v>
      </c>
      <c r="E520" s="34" t="s">
        <v>204</v>
      </c>
      <c r="F520" s="170">
        <v>320</v>
      </c>
      <c r="G520" s="29">
        <f>3334800-2666700</f>
        <v>668100</v>
      </c>
      <c r="H520" s="29">
        <v>668100</v>
      </c>
      <c r="I520" s="115">
        <v>557040.28</v>
      </c>
      <c r="J520" s="115">
        <f t="shared" si="275"/>
        <v>83.376781918874414</v>
      </c>
    </row>
    <row r="521" spans="1:11">
      <c r="A521" s="182">
        <v>509</v>
      </c>
      <c r="B521" s="176" t="s">
        <v>19</v>
      </c>
      <c r="C521" s="175">
        <v>951</v>
      </c>
      <c r="D521" s="175" t="s">
        <v>164</v>
      </c>
      <c r="E521" s="34" t="s">
        <v>204</v>
      </c>
      <c r="F521" s="170">
        <v>200</v>
      </c>
      <c r="G521" s="29">
        <f t="shared" ref="G521:I521" si="309">G522</f>
        <v>20000</v>
      </c>
      <c r="H521" s="29">
        <f t="shared" si="309"/>
        <v>20000</v>
      </c>
      <c r="I521" s="29">
        <f t="shared" si="309"/>
        <v>0</v>
      </c>
      <c r="J521" s="115">
        <f t="shared" si="275"/>
        <v>0</v>
      </c>
    </row>
    <row r="522" spans="1:11">
      <c r="A522" s="182">
        <v>510</v>
      </c>
      <c r="B522" s="176" t="s">
        <v>20</v>
      </c>
      <c r="C522" s="175">
        <v>951</v>
      </c>
      <c r="D522" s="175" t="s">
        <v>164</v>
      </c>
      <c r="E522" s="34" t="s">
        <v>204</v>
      </c>
      <c r="F522" s="170">
        <v>240</v>
      </c>
      <c r="G522" s="29">
        <v>20000</v>
      </c>
      <c r="H522" s="29">
        <v>20000</v>
      </c>
      <c r="I522" s="115">
        <v>0</v>
      </c>
      <c r="J522" s="115">
        <f t="shared" si="275"/>
        <v>0</v>
      </c>
    </row>
    <row r="523" spans="1:11" ht="33.75" customHeight="1">
      <c r="A523" s="182">
        <v>511</v>
      </c>
      <c r="B523" s="50" t="s">
        <v>234</v>
      </c>
      <c r="C523" s="46">
        <v>952</v>
      </c>
      <c r="D523" s="46" t="s">
        <v>113</v>
      </c>
      <c r="E523" s="125"/>
      <c r="F523" s="43"/>
      <c r="G523" s="44">
        <f>G524+G551+G610</f>
        <v>128346165.33</v>
      </c>
      <c r="H523" s="44">
        <f>H524+H551+H610</f>
        <v>130560165.33</v>
      </c>
      <c r="I523" s="44">
        <f>I524+I551+I610</f>
        <v>128341466.31</v>
      </c>
      <c r="J523" s="190">
        <f t="shared" si="275"/>
        <v>98.300630966273616</v>
      </c>
    </row>
    <row r="524" spans="1:11">
      <c r="A524" s="182">
        <v>512</v>
      </c>
      <c r="B524" s="64" t="s">
        <v>112</v>
      </c>
      <c r="C524" s="40">
        <v>952</v>
      </c>
      <c r="D524" s="40" t="s">
        <v>113</v>
      </c>
      <c r="E524" s="112"/>
      <c r="F524" s="73"/>
      <c r="G524" s="35">
        <f>G525+G531</f>
        <v>46443302.659999996</v>
      </c>
      <c r="H524" s="35">
        <f>H525+H531</f>
        <v>46443302.659999996</v>
      </c>
      <c r="I524" s="35">
        <f>I525+I531</f>
        <v>46199708.340000004</v>
      </c>
      <c r="J524" s="115">
        <f t="shared" si="275"/>
        <v>99.475501727809316</v>
      </c>
    </row>
    <row r="525" spans="1:11">
      <c r="A525" s="182">
        <v>513</v>
      </c>
      <c r="B525" s="171" t="s">
        <v>156</v>
      </c>
      <c r="C525" s="175">
        <v>952</v>
      </c>
      <c r="D525" s="175" t="s">
        <v>165</v>
      </c>
      <c r="E525" s="112"/>
      <c r="F525" s="73"/>
      <c r="G525" s="35">
        <f t="shared" ref="G525:I528" si="310">G526</f>
        <v>38079421.439999998</v>
      </c>
      <c r="H525" s="35">
        <f t="shared" si="310"/>
        <v>38079421.439999998</v>
      </c>
      <c r="I525" s="35">
        <f t="shared" si="310"/>
        <v>37911783.82</v>
      </c>
      <c r="J525" s="115">
        <f t="shared" si="275"/>
        <v>99.559768469003302</v>
      </c>
    </row>
    <row r="526" spans="1:11">
      <c r="A526" s="182">
        <v>514</v>
      </c>
      <c r="B526" s="171" t="s">
        <v>314</v>
      </c>
      <c r="C526" s="40">
        <v>952</v>
      </c>
      <c r="D526" s="40" t="s">
        <v>165</v>
      </c>
      <c r="E526" s="34" t="s">
        <v>187</v>
      </c>
      <c r="F526" s="73"/>
      <c r="G526" s="35">
        <f t="shared" si="310"/>
        <v>38079421.439999998</v>
      </c>
      <c r="H526" s="35">
        <f t="shared" si="310"/>
        <v>38079421.439999998</v>
      </c>
      <c r="I526" s="35">
        <f t="shared" si="310"/>
        <v>37911783.82</v>
      </c>
      <c r="J526" s="115">
        <f t="shared" si="275"/>
        <v>99.559768469003302</v>
      </c>
    </row>
    <row r="527" spans="1:11">
      <c r="A527" s="182">
        <v>515</v>
      </c>
      <c r="B527" s="171" t="s">
        <v>65</v>
      </c>
      <c r="C527" s="40">
        <v>952</v>
      </c>
      <c r="D527" s="175" t="s">
        <v>165</v>
      </c>
      <c r="E527" s="34" t="s">
        <v>206</v>
      </c>
      <c r="F527" s="73"/>
      <c r="G527" s="29">
        <f>G528</f>
        <v>38079421.439999998</v>
      </c>
      <c r="H527" s="29">
        <f t="shared" si="310"/>
        <v>38079421.439999998</v>
      </c>
      <c r="I527" s="29">
        <f t="shared" si="310"/>
        <v>37911783.82</v>
      </c>
      <c r="J527" s="115">
        <f t="shared" ref="J527:J590" si="311">I527/H527*100</f>
        <v>99.559768469003302</v>
      </c>
    </row>
    <row r="528" spans="1:11" ht="45">
      <c r="A528" s="182">
        <v>516</v>
      </c>
      <c r="B528" s="171" t="s">
        <v>343</v>
      </c>
      <c r="C528" s="40">
        <v>952</v>
      </c>
      <c r="D528" s="40" t="s">
        <v>165</v>
      </c>
      <c r="E528" s="34" t="s">
        <v>207</v>
      </c>
      <c r="F528" s="73"/>
      <c r="G528" s="29">
        <f t="shared" si="310"/>
        <v>38079421.439999998</v>
      </c>
      <c r="H528" s="29">
        <f t="shared" si="310"/>
        <v>38079421.439999998</v>
      </c>
      <c r="I528" s="29">
        <f t="shared" si="310"/>
        <v>37911783.82</v>
      </c>
      <c r="J528" s="115">
        <f t="shared" si="311"/>
        <v>99.559768469003302</v>
      </c>
    </row>
    <row r="529" spans="1:13" ht="30">
      <c r="A529" s="182">
        <v>517</v>
      </c>
      <c r="B529" s="176" t="s">
        <v>48</v>
      </c>
      <c r="C529" s="40">
        <v>952</v>
      </c>
      <c r="D529" s="175" t="s">
        <v>165</v>
      </c>
      <c r="E529" s="34" t="s">
        <v>207</v>
      </c>
      <c r="F529" s="73">
        <v>600</v>
      </c>
      <c r="G529" s="29">
        <f t="shared" ref="G529" si="312">G530</f>
        <v>38079421.439999998</v>
      </c>
      <c r="H529" s="29">
        <f t="shared" ref="H529:I529" si="313">H530</f>
        <v>38079421.439999998</v>
      </c>
      <c r="I529" s="29">
        <f t="shared" si="313"/>
        <v>37911783.82</v>
      </c>
      <c r="J529" s="115">
        <f t="shared" si="311"/>
        <v>99.559768469003302</v>
      </c>
    </row>
    <row r="530" spans="1:13">
      <c r="A530" s="182">
        <v>518</v>
      </c>
      <c r="B530" s="176" t="s">
        <v>66</v>
      </c>
      <c r="C530" s="40">
        <v>952</v>
      </c>
      <c r="D530" s="40" t="s">
        <v>165</v>
      </c>
      <c r="E530" s="34" t="s">
        <v>207</v>
      </c>
      <c r="F530" s="73">
        <v>610</v>
      </c>
      <c r="G530" s="29">
        <f>37577510+459202.16+404264.03+121843.8+16922.71-348663.26-110000-41658</f>
        <v>38079421.439999998</v>
      </c>
      <c r="H530" s="29">
        <v>38079421.439999998</v>
      </c>
      <c r="I530" s="115">
        <v>37911783.82</v>
      </c>
      <c r="J530" s="115">
        <f t="shared" si="311"/>
        <v>99.559768469003302</v>
      </c>
    </row>
    <row r="531" spans="1:13" s="59" customFormat="1">
      <c r="A531" s="182">
        <v>519</v>
      </c>
      <c r="B531" s="176" t="s">
        <v>70</v>
      </c>
      <c r="C531" s="175">
        <v>952</v>
      </c>
      <c r="D531" s="175" t="s">
        <v>117</v>
      </c>
      <c r="E531" s="34"/>
      <c r="F531" s="170"/>
      <c r="G531" s="29">
        <f t="shared" ref="G531:I535" si="314">G532</f>
        <v>8363881.2199999997</v>
      </c>
      <c r="H531" s="29">
        <f t="shared" si="314"/>
        <v>8363881.2199999997</v>
      </c>
      <c r="I531" s="29">
        <f t="shared" si="314"/>
        <v>8287924.5199999996</v>
      </c>
      <c r="J531" s="115">
        <f t="shared" si="311"/>
        <v>99.091848652532633</v>
      </c>
      <c r="K531" s="118"/>
      <c r="L531" s="118"/>
      <c r="M531" s="130"/>
    </row>
    <row r="532" spans="1:13">
      <c r="A532" s="182">
        <v>520</v>
      </c>
      <c r="B532" s="171" t="s">
        <v>71</v>
      </c>
      <c r="C532" s="175">
        <v>952</v>
      </c>
      <c r="D532" s="175" t="s">
        <v>117</v>
      </c>
      <c r="E532" s="34" t="s">
        <v>208</v>
      </c>
      <c r="F532" s="73"/>
      <c r="G532" s="29">
        <f>G533+G540+G547</f>
        <v>8363881.2199999997</v>
      </c>
      <c r="H532" s="29">
        <f>H533+H540+H547</f>
        <v>8363881.2199999997</v>
      </c>
      <c r="I532" s="29">
        <f>I533+I540+I547</f>
        <v>8287924.5199999996</v>
      </c>
      <c r="J532" s="115">
        <f t="shared" si="311"/>
        <v>99.091848652532633</v>
      </c>
    </row>
    <row r="533" spans="1:13">
      <c r="A533" s="182">
        <v>521</v>
      </c>
      <c r="B533" s="171" t="s">
        <v>299</v>
      </c>
      <c r="C533" s="175">
        <v>952</v>
      </c>
      <c r="D533" s="175" t="s">
        <v>117</v>
      </c>
      <c r="E533" s="34" t="s">
        <v>239</v>
      </c>
      <c r="F533" s="73"/>
      <c r="G533" s="29">
        <f>G534+G537</f>
        <v>8063881.2199999997</v>
      </c>
      <c r="H533" s="29">
        <f t="shared" ref="H533:I533" si="315">H534+H537</f>
        <v>8063881.2199999997</v>
      </c>
      <c r="I533" s="29">
        <f t="shared" si="315"/>
        <v>7991213.5199999996</v>
      </c>
      <c r="J533" s="115">
        <f t="shared" si="311"/>
        <v>99.098849573580395</v>
      </c>
    </row>
    <row r="534" spans="1:13" ht="45">
      <c r="A534" s="182">
        <v>522</v>
      </c>
      <c r="B534" s="171" t="s">
        <v>344</v>
      </c>
      <c r="C534" s="175">
        <v>952</v>
      </c>
      <c r="D534" s="175" t="s">
        <v>117</v>
      </c>
      <c r="E534" s="34" t="s">
        <v>300</v>
      </c>
      <c r="F534" s="73"/>
      <c r="G534" s="29">
        <f t="shared" si="314"/>
        <v>7518001.2199999997</v>
      </c>
      <c r="H534" s="29">
        <f t="shared" si="314"/>
        <v>7518001.2199999997</v>
      </c>
      <c r="I534" s="29">
        <f t="shared" si="314"/>
        <v>7445333.5199999996</v>
      </c>
      <c r="J534" s="115">
        <f t="shared" si="311"/>
        <v>99.033417289070343</v>
      </c>
    </row>
    <row r="535" spans="1:13" ht="30">
      <c r="A535" s="182">
        <v>523</v>
      </c>
      <c r="B535" s="176" t="s">
        <v>48</v>
      </c>
      <c r="C535" s="175">
        <v>952</v>
      </c>
      <c r="D535" s="175" t="s">
        <v>117</v>
      </c>
      <c r="E535" s="34" t="s">
        <v>300</v>
      </c>
      <c r="F535" s="73">
        <v>600</v>
      </c>
      <c r="G535" s="29">
        <f t="shared" ref="G535" si="316">G536</f>
        <v>7518001.2199999997</v>
      </c>
      <c r="H535" s="29">
        <f t="shared" si="314"/>
        <v>7518001.2199999997</v>
      </c>
      <c r="I535" s="29">
        <f t="shared" si="314"/>
        <v>7445333.5199999996</v>
      </c>
      <c r="J535" s="115">
        <f t="shared" si="311"/>
        <v>99.033417289070343</v>
      </c>
    </row>
    <row r="536" spans="1:13">
      <c r="A536" s="182">
        <v>524</v>
      </c>
      <c r="B536" s="176" t="s">
        <v>66</v>
      </c>
      <c r="C536" s="175">
        <v>952</v>
      </c>
      <c r="D536" s="175" t="s">
        <v>117</v>
      </c>
      <c r="E536" s="34" t="s">
        <v>300</v>
      </c>
      <c r="F536" s="73">
        <v>610</v>
      </c>
      <c r="G536" s="29">
        <f>7245900+178482.05+164830+13538.2-159749.03+75000</f>
        <v>7518001.2199999997</v>
      </c>
      <c r="H536" s="29">
        <v>7518001.2199999997</v>
      </c>
      <c r="I536" s="115">
        <v>7445333.5199999996</v>
      </c>
      <c r="J536" s="115">
        <f t="shared" si="311"/>
        <v>99.033417289070343</v>
      </c>
    </row>
    <row r="537" spans="1:13" s="59" customFormat="1" ht="45">
      <c r="A537" s="182">
        <v>525</v>
      </c>
      <c r="B537" s="173" t="s">
        <v>359</v>
      </c>
      <c r="C537" s="175">
        <v>952</v>
      </c>
      <c r="D537" s="175" t="s">
        <v>117</v>
      </c>
      <c r="E537" s="34" t="s">
        <v>301</v>
      </c>
      <c r="F537" s="170"/>
      <c r="G537" s="29">
        <f t="shared" ref="G537:I538" si="317">G538</f>
        <v>545880</v>
      </c>
      <c r="H537" s="29">
        <f t="shared" si="317"/>
        <v>545880</v>
      </c>
      <c r="I537" s="29">
        <f t="shared" si="317"/>
        <v>545880</v>
      </c>
      <c r="J537" s="115">
        <f t="shared" si="311"/>
        <v>100</v>
      </c>
      <c r="K537" s="118"/>
      <c r="L537" s="118"/>
      <c r="M537" s="130"/>
    </row>
    <row r="538" spans="1:13" s="59" customFormat="1" ht="30">
      <c r="A538" s="182">
        <v>526</v>
      </c>
      <c r="B538" s="176" t="s">
        <v>48</v>
      </c>
      <c r="C538" s="175">
        <v>952</v>
      </c>
      <c r="D538" s="175" t="s">
        <v>117</v>
      </c>
      <c r="E538" s="34" t="s">
        <v>301</v>
      </c>
      <c r="F538" s="170">
        <v>600</v>
      </c>
      <c r="G538" s="29">
        <f t="shared" ref="G538" si="318">G539</f>
        <v>545880</v>
      </c>
      <c r="H538" s="29">
        <f t="shared" si="317"/>
        <v>545880</v>
      </c>
      <c r="I538" s="29">
        <f t="shared" si="317"/>
        <v>545880</v>
      </c>
      <c r="J538" s="115">
        <f t="shared" si="311"/>
        <v>100</v>
      </c>
      <c r="K538" s="118"/>
      <c r="L538" s="118"/>
      <c r="M538" s="130"/>
    </row>
    <row r="539" spans="1:13" s="59" customFormat="1">
      <c r="A539" s="182">
        <v>527</v>
      </c>
      <c r="B539" s="176" t="s">
        <v>66</v>
      </c>
      <c r="C539" s="175">
        <v>952</v>
      </c>
      <c r="D539" s="175" t="s">
        <v>117</v>
      </c>
      <c r="E539" s="34" t="s">
        <v>301</v>
      </c>
      <c r="F539" s="170">
        <v>610</v>
      </c>
      <c r="G539" s="29">
        <v>545880</v>
      </c>
      <c r="H539" s="29">
        <v>545880</v>
      </c>
      <c r="I539" s="115">
        <v>545880</v>
      </c>
      <c r="J539" s="115">
        <f t="shared" si="311"/>
        <v>100</v>
      </c>
      <c r="K539" s="118"/>
      <c r="L539" s="118"/>
      <c r="M539" s="130"/>
    </row>
    <row r="540" spans="1:13">
      <c r="A540" s="182">
        <v>528</v>
      </c>
      <c r="B540" s="177" t="s">
        <v>305</v>
      </c>
      <c r="C540" s="175" t="s">
        <v>302</v>
      </c>
      <c r="D540" s="175" t="s">
        <v>117</v>
      </c>
      <c r="E540" s="34" t="s">
        <v>209</v>
      </c>
      <c r="F540" s="73"/>
      <c r="G540" s="29">
        <f>G541+G544</f>
        <v>240000</v>
      </c>
      <c r="H540" s="29">
        <f t="shared" ref="H540:I540" si="319">H541+H544</f>
        <v>240000</v>
      </c>
      <c r="I540" s="29">
        <f t="shared" si="319"/>
        <v>237976</v>
      </c>
      <c r="J540" s="115">
        <f t="shared" si="311"/>
        <v>99.156666666666666</v>
      </c>
    </row>
    <row r="541" spans="1:13" ht="45">
      <c r="A541" s="182">
        <v>529</v>
      </c>
      <c r="B541" s="177" t="s">
        <v>345</v>
      </c>
      <c r="C541" s="175" t="s">
        <v>302</v>
      </c>
      <c r="D541" s="175" t="s">
        <v>117</v>
      </c>
      <c r="E541" s="34" t="s">
        <v>303</v>
      </c>
      <c r="F541" s="73"/>
      <c r="G541" s="29">
        <f t="shared" ref="G541:I542" si="320">G542</f>
        <v>20000</v>
      </c>
      <c r="H541" s="29">
        <f t="shared" si="320"/>
        <v>20000</v>
      </c>
      <c r="I541" s="29">
        <f t="shared" si="320"/>
        <v>17976</v>
      </c>
      <c r="J541" s="115">
        <f t="shared" si="311"/>
        <v>89.88000000000001</v>
      </c>
    </row>
    <row r="542" spans="1:13" ht="30">
      <c r="A542" s="182">
        <v>530</v>
      </c>
      <c r="B542" s="176" t="s">
        <v>48</v>
      </c>
      <c r="C542" s="175" t="s">
        <v>302</v>
      </c>
      <c r="D542" s="175" t="s">
        <v>117</v>
      </c>
      <c r="E542" s="34" t="s">
        <v>303</v>
      </c>
      <c r="F542" s="73">
        <v>600</v>
      </c>
      <c r="G542" s="29">
        <f t="shared" si="320"/>
        <v>20000</v>
      </c>
      <c r="H542" s="29">
        <f t="shared" si="320"/>
        <v>20000</v>
      </c>
      <c r="I542" s="29">
        <f t="shared" si="320"/>
        <v>17976</v>
      </c>
      <c r="J542" s="115">
        <f t="shared" si="311"/>
        <v>89.88000000000001</v>
      </c>
    </row>
    <row r="543" spans="1:13">
      <c r="A543" s="182">
        <v>531</v>
      </c>
      <c r="B543" s="176" t="s">
        <v>66</v>
      </c>
      <c r="C543" s="175" t="s">
        <v>302</v>
      </c>
      <c r="D543" s="175" t="s">
        <v>117</v>
      </c>
      <c r="E543" s="34" t="s">
        <v>303</v>
      </c>
      <c r="F543" s="73">
        <v>610</v>
      </c>
      <c r="G543" s="29">
        <v>20000</v>
      </c>
      <c r="H543" s="29">
        <v>20000</v>
      </c>
      <c r="I543" s="115">
        <v>17976</v>
      </c>
      <c r="J543" s="115">
        <f t="shared" si="311"/>
        <v>89.88000000000001</v>
      </c>
    </row>
    <row r="544" spans="1:13" ht="46.5" customHeight="1">
      <c r="A544" s="182">
        <v>532</v>
      </c>
      <c r="B544" s="176" t="s">
        <v>428</v>
      </c>
      <c r="C544" s="175" t="s">
        <v>302</v>
      </c>
      <c r="D544" s="175" t="s">
        <v>117</v>
      </c>
      <c r="E544" s="34" t="s">
        <v>427</v>
      </c>
      <c r="F544" s="73"/>
      <c r="G544" s="29">
        <f t="shared" ref="G544:I545" si="321">G545</f>
        <v>220000</v>
      </c>
      <c r="H544" s="29">
        <f t="shared" si="321"/>
        <v>220000</v>
      </c>
      <c r="I544" s="29">
        <f t="shared" si="321"/>
        <v>220000</v>
      </c>
      <c r="J544" s="115">
        <f t="shared" si="311"/>
        <v>100</v>
      </c>
    </row>
    <row r="545" spans="1:10" ht="30">
      <c r="A545" s="182">
        <v>533</v>
      </c>
      <c r="B545" s="176" t="s">
        <v>48</v>
      </c>
      <c r="C545" s="175" t="s">
        <v>302</v>
      </c>
      <c r="D545" s="175" t="s">
        <v>117</v>
      </c>
      <c r="E545" s="34" t="s">
        <v>427</v>
      </c>
      <c r="F545" s="73">
        <v>600</v>
      </c>
      <c r="G545" s="29">
        <f t="shared" si="321"/>
        <v>220000</v>
      </c>
      <c r="H545" s="29">
        <f t="shared" si="321"/>
        <v>220000</v>
      </c>
      <c r="I545" s="29">
        <f t="shared" si="321"/>
        <v>220000</v>
      </c>
      <c r="J545" s="115">
        <f t="shared" si="311"/>
        <v>100</v>
      </c>
    </row>
    <row r="546" spans="1:10">
      <c r="A546" s="182">
        <v>534</v>
      </c>
      <c r="B546" s="176" t="s">
        <v>66</v>
      </c>
      <c r="C546" s="175" t="s">
        <v>302</v>
      </c>
      <c r="D546" s="175" t="s">
        <v>117</v>
      </c>
      <c r="E546" s="34" t="s">
        <v>427</v>
      </c>
      <c r="F546" s="73">
        <v>610</v>
      </c>
      <c r="G546" s="29">
        <f>20000+200000</f>
        <v>220000</v>
      </c>
      <c r="H546" s="29">
        <v>220000</v>
      </c>
      <c r="I546" s="115">
        <v>220000</v>
      </c>
      <c r="J546" s="115">
        <f t="shared" si="311"/>
        <v>100</v>
      </c>
    </row>
    <row r="547" spans="1:10" ht="30">
      <c r="A547" s="182">
        <v>535</v>
      </c>
      <c r="B547" s="177" t="s">
        <v>316</v>
      </c>
      <c r="C547" s="175" t="s">
        <v>302</v>
      </c>
      <c r="D547" s="175" t="s">
        <v>117</v>
      </c>
      <c r="E547" s="34" t="s">
        <v>240</v>
      </c>
      <c r="F547" s="73"/>
      <c r="G547" s="29">
        <f t="shared" ref="G547:I549" si="322">G548</f>
        <v>60000</v>
      </c>
      <c r="H547" s="29">
        <f t="shared" si="322"/>
        <v>60000</v>
      </c>
      <c r="I547" s="29">
        <f t="shared" si="322"/>
        <v>58735</v>
      </c>
      <c r="J547" s="115">
        <f t="shared" si="311"/>
        <v>97.891666666666666</v>
      </c>
    </row>
    <row r="548" spans="1:10" ht="90.75" customHeight="1">
      <c r="A548" s="182">
        <v>536</v>
      </c>
      <c r="B548" s="177" t="s">
        <v>346</v>
      </c>
      <c r="C548" s="175" t="s">
        <v>302</v>
      </c>
      <c r="D548" s="175" t="s">
        <v>117</v>
      </c>
      <c r="E548" s="34" t="s">
        <v>304</v>
      </c>
      <c r="F548" s="73"/>
      <c r="G548" s="29">
        <f t="shared" si="322"/>
        <v>60000</v>
      </c>
      <c r="H548" s="29">
        <f t="shared" si="322"/>
        <v>60000</v>
      </c>
      <c r="I548" s="29">
        <f t="shared" si="322"/>
        <v>58735</v>
      </c>
      <c r="J548" s="115">
        <f t="shared" si="311"/>
        <v>97.891666666666666</v>
      </c>
    </row>
    <row r="549" spans="1:10" ht="30">
      <c r="A549" s="182">
        <v>537</v>
      </c>
      <c r="B549" s="176" t="s">
        <v>48</v>
      </c>
      <c r="C549" s="175" t="s">
        <v>302</v>
      </c>
      <c r="D549" s="175" t="s">
        <v>117</v>
      </c>
      <c r="E549" s="34" t="s">
        <v>304</v>
      </c>
      <c r="F549" s="73">
        <v>600</v>
      </c>
      <c r="G549" s="29">
        <f t="shared" si="322"/>
        <v>60000</v>
      </c>
      <c r="H549" s="29">
        <f t="shared" si="322"/>
        <v>60000</v>
      </c>
      <c r="I549" s="29">
        <f t="shared" si="322"/>
        <v>58735</v>
      </c>
      <c r="J549" s="115">
        <f t="shared" si="311"/>
        <v>97.891666666666666</v>
      </c>
    </row>
    <row r="550" spans="1:10">
      <c r="A550" s="182">
        <v>538</v>
      </c>
      <c r="B550" s="176" t="s">
        <v>66</v>
      </c>
      <c r="C550" s="175" t="s">
        <v>302</v>
      </c>
      <c r="D550" s="175" t="s">
        <v>117</v>
      </c>
      <c r="E550" s="34" t="s">
        <v>304</v>
      </c>
      <c r="F550" s="73">
        <v>610</v>
      </c>
      <c r="G550" s="29">
        <v>60000</v>
      </c>
      <c r="H550" s="29">
        <v>60000</v>
      </c>
      <c r="I550" s="115">
        <v>58735</v>
      </c>
      <c r="J550" s="115">
        <f t="shared" si="311"/>
        <v>97.891666666666666</v>
      </c>
    </row>
    <row r="551" spans="1:10">
      <c r="A551" s="182">
        <v>539</v>
      </c>
      <c r="B551" s="64" t="s">
        <v>119</v>
      </c>
      <c r="C551" s="40">
        <v>952</v>
      </c>
      <c r="D551" s="40" t="s">
        <v>120</v>
      </c>
      <c r="E551" s="112"/>
      <c r="F551" s="73"/>
      <c r="G551" s="29">
        <f>G552+G596</f>
        <v>81804862.670000002</v>
      </c>
      <c r="H551" s="29">
        <f>H552+H596</f>
        <v>84018862.670000002</v>
      </c>
      <c r="I551" s="29">
        <f>I552+I596</f>
        <v>82044597.969999999</v>
      </c>
      <c r="J551" s="115">
        <f t="shared" si="311"/>
        <v>97.650212538874399</v>
      </c>
    </row>
    <row r="552" spans="1:10">
      <c r="A552" s="182">
        <v>540</v>
      </c>
      <c r="B552" s="33" t="s">
        <v>67</v>
      </c>
      <c r="C552" s="40">
        <v>952</v>
      </c>
      <c r="D552" s="40" t="s">
        <v>121</v>
      </c>
      <c r="E552" s="112"/>
      <c r="F552" s="73"/>
      <c r="G552" s="29">
        <f t="shared" ref="G552:I552" si="323">G553</f>
        <v>77403662.670000002</v>
      </c>
      <c r="H552" s="29">
        <f t="shared" si="323"/>
        <v>79617662.670000002</v>
      </c>
      <c r="I552" s="29">
        <f t="shared" si="323"/>
        <v>77657341.120000005</v>
      </c>
      <c r="J552" s="115">
        <f t="shared" si="311"/>
        <v>97.537830822633978</v>
      </c>
    </row>
    <row r="553" spans="1:10">
      <c r="A553" s="182">
        <v>541</v>
      </c>
      <c r="B553" s="171" t="s">
        <v>314</v>
      </c>
      <c r="C553" s="40">
        <v>952</v>
      </c>
      <c r="D553" s="40" t="s">
        <v>121</v>
      </c>
      <c r="E553" s="34" t="s">
        <v>187</v>
      </c>
      <c r="F553" s="73"/>
      <c r="G553" s="29">
        <f>G554+G564+G574</f>
        <v>77403662.670000002</v>
      </c>
      <c r="H553" s="29">
        <f>H554+H564+H574</f>
        <v>79617662.670000002</v>
      </c>
      <c r="I553" s="29">
        <f>I554+I564+I574</f>
        <v>77657341.120000005</v>
      </c>
      <c r="J553" s="115">
        <f t="shared" si="311"/>
        <v>97.537830822633978</v>
      </c>
    </row>
    <row r="554" spans="1:10">
      <c r="A554" s="182">
        <v>542</v>
      </c>
      <c r="B554" s="171" t="s">
        <v>68</v>
      </c>
      <c r="C554" s="40">
        <v>952</v>
      </c>
      <c r="D554" s="40" t="s">
        <v>121</v>
      </c>
      <c r="E554" s="34" t="s">
        <v>210</v>
      </c>
      <c r="F554" s="73"/>
      <c r="G554" s="29">
        <f>G555+G558+G561</f>
        <v>28730035.390000001</v>
      </c>
      <c r="H554" s="29">
        <f t="shared" ref="H554:I554" si="324">H555+H558+H561</f>
        <v>29700895.390000001</v>
      </c>
      <c r="I554" s="29">
        <f t="shared" si="324"/>
        <v>28992259.899999999</v>
      </c>
      <c r="J554" s="115">
        <f t="shared" si="311"/>
        <v>97.614093849040685</v>
      </c>
    </row>
    <row r="555" spans="1:10" ht="45">
      <c r="A555" s="182">
        <v>543</v>
      </c>
      <c r="B555" s="70" t="s">
        <v>347</v>
      </c>
      <c r="C555" s="40">
        <v>952</v>
      </c>
      <c r="D555" s="40" t="s">
        <v>121</v>
      </c>
      <c r="E555" s="34" t="s">
        <v>211</v>
      </c>
      <c r="F555" s="73"/>
      <c r="G555" s="29">
        <f t="shared" ref="G555:I556" si="325">G556</f>
        <v>24204080.770000003</v>
      </c>
      <c r="H555" s="29">
        <f t="shared" si="325"/>
        <v>24204080.77</v>
      </c>
      <c r="I555" s="29">
        <f t="shared" si="325"/>
        <v>23587559.199999999</v>
      </c>
      <c r="J555" s="115">
        <f t="shared" si="311"/>
        <v>97.452819729621154</v>
      </c>
    </row>
    <row r="556" spans="1:10" ht="30">
      <c r="A556" s="182">
        <v>544</v>
      </c>
      <c r="B556" s="176" t="s">
        <v>48</v>
      </c>
      <c r="C556" s="40">
        <v>952</v>
      </c>
      <c r="D556" s="40" t="s">
        <v>121</v>
      </c>
      <c r="E556" s="34" t="s">
        <v>211</v>
      </c>
      <c r="F556" s="73">
        <v>600</v>
      </c>
      <c r="G556" s="29">
        <f t="shared" si="325"/>
        <v>24204080.770000003</v>
      </c>
      <c r="H556" s="29">
        <f t="shared" si="325"/>
        <v>24204080.77</v>
      </c>
      <c r="I556" s="29">
        <f t="shared" si="325"/>
        <v>23587559.199999999</v>
      </c>
      <c r="J556" s="115">
        <f t="shared" si="311"/>
        <v>97.452819729621154</v>
      </c>
    </row>
    <row r="557" spans="1:10">
      <c r="A557" s="182">
        <v>545</v>
      </c>
      <c r="B557" s="176" t="s">
        <v>66</v>
      </c>
      <c r="C557" s="40">
        <v>952</v>
      </c>
      <c r="D557" s="40" t="s">
        <v>121</v>
      </c>
      <c r="E557" s="34" t="s">
        <v>211</v>
      </c>
      <c r="F557" s="73">
        <v>610</v>
      </c>
      <c r="G557" s="29">
        <f>22893490+135091.35+408512+1102800-215812.58-120000</f>
        <v>24204080.770000003</v>
      </c>
      <c r="H557" s="29">
        <v>24204080.77</v>
      </c>
      <c r="I557" s="115">
        <v>23587559.199999999</v>
      </c>
      <c r="J557" s="115">
        <f t="shared" si="311"/>
        <v>97.452819729621154</v>
      </c>
    </row>
    <row r="558" spans="1:10" ht="30">
      <c r="A558" s="182">
        <v>546</v>
      </c>
      <c r="B558" s="70" t="s">
        <v>348</v>
      </c>
      <c r="C558" s="40">
        <v>952</v>
      </c>
      <c r="D558" s="40" t="s">
        <v>121</v>
      </c>
      <c r="E558" s="34" t="s">
        <v>212</v>
      </c>
      <c r="F558" s="73"/>
      <c r="G558" s="29">
        <f t="shared" ref="G558:I559" si="326">G559</f>
        <v>4525954.6199999992</v>
      </c>
      <c r="H558" s="29">
        <f t="shared" si="326"/>
        <v>4525954.62</v>
      </c>
      <c r="I558" s="29">
        <f t="shared" si="326"/>
        <v>4433840.7</v>
      </c>
      <c r="J558" s="115">
        <f t="shared" si="311"/>
        <v>97.964762625039313</v>
      </c>
    </row>
    <row r="559" spans="1:10" ht="30">
      <c r="A559" s="182">
        <v>547</v>
      </c>
      <c r="B559" s="176" t="s">
        <v>48</v>
      </c>
      <c r="C559" s="40">
        <v>952</v>
      </c>
      <c r="D559" s="40" t="s">
        <v>121</v>
      </c>
      <c r="E559" s="34" t="s">
        <v>212</v>
      </c>
      <c r="F559" s="73">
        <v>600</v>
      </c>
      <c r="G559" s="29">
        <f t="shared" si="326"/>
        <v>4525954.6199999992</v>
      </c>
      <c r="H559" s="29">
        <f t="shared" si="326"/>
        <v>4525954.62</v>
      </c>
      <c r="I559" s="29">
        <f t="shared" si="326"/>
        <v>4433840.7</v>
      </c>
      <c r="J559" s="115">
        <f t="shared" si="311"/>
        <v>97.964762625039313</v>
      </c>
    </row>
    <row r="560" spans="1:10">
      <c r="A560" s="182">
        <v>548</v>
      </c>
      <c r="B560" s="176" t="s">
        <v>66</v>
      </c>
      <c r="C560" s="40">
        <v>952</v>
      </c>
      <c r="D560" s="40" t="s">
        <v>121</v>
      </c>
      <c r="E560" s="34" t="s">
        <v>212</v>
      </c>
      <c r="F560" s="73">
        <v>610</v>
      </c>
      <c r="G560" s="29">
        <f>4485990-2110+21108.02+90800+140200-210033.4</f>
        <v>4525954.6199999992</v>
      </c>
      <c r="H560" s="29">
        <v>4525954.62</v>
      </c>
      <c r="I560" s="115">
        <v>4433840.7</v>
      </c>
      <c r="J560" s="115">
        <f t="shared" si="311"/>
        <v>97.964762625039313</v>
      </c>
    </row>
    <row r="561" spans="1:10" ht="45">
      <c r="A561" s="182">
        <v>549</v>
      </c>
      <c r="B561" s="183" t="s">
        <v>559</v>
      </c>
      <c r="C561" s="40" t="s">
        <v>302</v>
      </c>
      <c r="D561" s="40" t="s">
        <v>121</v>
      </c>
      <c r="E561" s="34" t="s">
        <v>560</v>
      </c>
      <c r="F561" s="73"/>
      <c r="G561" s="29">
        <f>G562</f>
        <v>0</v>
      </c>
      <c r="H561" s="29">
        <f t="shared" ref="H561:I562" si="327">H562</f>
        <v>970860</v>
      </c>
      <c r="I561" s="29">
        <f t="shared" si="327"/>
        <v>970860</v>
      </c>
      <c r="J561" s="115">
        <f t="shared" si="311"/>
        <v>100</v>
      </c>
    </row>
    <row r="562" spans="1:10" ht="30">
      <c r="A562" s="182">
        <v>550</v>
      </c>
      <c r="B562" s="184" t="s">
        <v>48</v>
      </c>
      <c r="C562" s="40" t="s">
        <v>302</v>
      </c>
      <c r="D562" s="40" t="s">
        <v>121</v>
      </c>
      <c r="E562" s="34" t="s">
        <v>560</v>
      </c>
      <c r="F562" s="73">
        <v>600</v>
      </c>
      <c r="G562" s="29">
        <f>G563</f>
        <v>0</v>
      </c>
      <c r="H562" s="29">
        <f t="shared" si="327"/>
        <v>970860</v>
      </c>
      <c r="I562" s="29">
        <f t="shared" si="327"/>
        <v>970860</v>
      </c>
      <c r="J562" s="115">
        <f t="shared" si="311"/>
        <v>100</v>
      </c>
    </row>
    <row r="563" spans="1:10">
      <c r="A563" s="182">
        <v>551</v>
      </c>
      <c r="B563" s="184" t="s">
        <v>66</v>
      </c>
      <c r="C563" s="40" t="s">
        <v>302</v>
      </c>
      <c r="D563" s="40" t="s">
        <v>121</v>
      </c>
      <c r="E563" s="34" t="s">
        <v>560</v>
      </c>
      <c r="F563" s="73">
        <v>610</v>
      </c>
      <c r="G563" s="29">
        <v>0</v>
      </c>
      <c r="H563" s="29">
        <v>970860</v>
      </c>
      <c r="I563" s="115">
        <v>970860</v>
      </c>
      <c r="J563" s="115">
        <f t="shared" si="311"/>
        <v>100</v>
      </c>
    </row>
    <row r="564" spans="1:10">
      <c r="A564" s="182">
        <v>552</v>
      </c>
      <c r="B564" s="71" t="s">
        <v>69</v>
      </c>
      <c r="C564" s="40">
        <v>952</v>
      </c>
      <c r="D564" s="40" t="s">
        <v>121</v>
      </c>
      <c r="E564" s="34" t="s">
        <v>213</v>
      </c>
      <c r="F564" s="73"/>
      <c r="G564" s="29">
        <f>G565+G568+G571</f>
        <v>45512057.280000001</v>
      </c>
      <c r="H564" s="29">
        <f t="shared" ref="H564:I564" si="328">H565+H568+H571</f>
        <v>46758197.280000001</v>
      </c>
      <c r="I564" s="29">
        <f t="shared" si="328"/>
        <v>45506541.219999999</v>
      </c>
      <c r="J564" s="115">
        <f t="shared" si="311"/>
        <v>97.323130204304562</v>
      </c>
    </row>
    <row r="565" spans="1:10" ht="45">
      <c r="A565" s="182">
        <v>553</v>
      </c>
      <c r="B565" s="70" t="s">
        <v>349</v>
      </c>
      <c r="C565" s="40">
        <v>952</v>
      </c>
      <c r="D565" s="40" t="s">
        <v>121</v>
      </c>
      <c r="E565" s="34" t="s">
        <v>214</v>
      </c>
      <c r="F565" s="73"/>
      <c r="G565" s="29">
        <f t="shared" ref="G565:I566" si="329">G566</f>
        <v>24810691.280000001</v>
      </c>
      <c r="H565" s="29">
        <f t="shared" si="329"/>
        <v>24810691.280000001</v>
      </c>
      <c r="I565" s="29">
        <f t="shared" si="329"/>
        <v>23559035.219999999</v>
      </c>
      <c r="J565" s="115">
        <f t="shared" si="311"/>
        <v>94.955174582302078</v>
      </c>
    </row>
    <row r="566" spans="1:10" ht="30">
      <c r="A566" s="182">
        <v>554</v>
      </c>
      <c r="B566" s="176" t="s">
        <v>48</v>
      </c>
      <c r="C566" s="40">
        <v>952</v>
      </c>
      <c r="D566" s="40" t="s">
        <v>121</v>
      </c>
      <c r="E566" s="34" t="s">
        <v>214</v>
      </c>
      <c r="F566" s="73">
        <v>600</v>
      </c>
      <c r="G566" s="29">
        <f t="shared" si="329"/>
        <v>24810691.280000001</v>
      </c>
      <c r="H566" s="29">
        <f t="shared" si="329"/>
        <v>24810691.280000001</v>
      </c>
      <c r="I566" s="29">
        <f t="shared" si="329"/>
        <v>23559035.219999999</v>
      </c>
      <c r="J566" s="115">
        <f t="shared" si="311"/>
        <v>94.955174582302078</v>
      </c>
    </row>
    <row r="567" spans="1:10">
      <c r="A567" s="182">
        <v>555</v>
      </c>
      <c r="B567" s="176" t="s">
        <v>66</v>
      </c>
      <c r="C567" s="40">
        <v>952</v>
      </c>
      <c r="D567" s="40" t="s">
        <v>121</v>
      </c>
      <c r="E567" s="34" t="s">
        <v>214</v>
      </c>
      <c r="F567" s="73">
        <v>610</v>
      </c>
      <c r="G567" s="29">
        <f>23694144+194193.82-3030+1550000+1285000-309616.54-1600000</f>
        <v>24810691.280000001</v>
      </c>
      <c r="H567" s="29">
        <v>24810691.280000001</v>
      </c>
      <c r="I567" s="115">
        <v>23559035.219999999</v>
      </c>
      <c r="J567" s="115">
        <f t="shared" si="311"/>
        <v>94.955174582302078</v>
      </c>
    </row>
    <row r="568" spans="1:10" ht="45">
      <c r="A568" s="182">
        <v>556</v>
      </c>
      <c r="B568" s="70" t="s">
        <v>350</v>
      </c>
      <c r="C568" s="40">
        <v>952</v>
      </c>
      <c r="D568" s="40" t="s">
        <v>121</v>
      </c>
      <c r="E568" s="34" t="s">
        <v>215</v>
      </c>
      <c r="F568" s="73"/>
      <c r="G568" s="29">
        <f t="shared" ref="G568:I569" si="330">G569</f>
        <v>20701366</v>
      </c>
      <c r="H568" s="29">
        <f t="shared" si="330"/>
        <v>20701366</v>
      </c>
      <c r="I568" s="29">
        <f t="shared" si="330"/>
        <v>20701366</v>
      </c>
      <c r="J568" s="115">
        <f t="shared" si="311"/>
        <v>100</v>
      </c>
    </row>
    <row r="569" spans="1:10" ht="30">
      <c r="A569" s="182">
        <v>557</v>
      </c>
      <c r="B569" s="176" t="s">
        <v>48</v>
      </c>
      <c r="C569" s="40">
        <v>952</v>
      </c>
      <c r="D569" s="40" t="s">
        <v>121</v>
      </c>
      <c r="E569" s="34" t="s">
        <v>215</v>
      </c>
      <c r="F569" s="73">
        <v>600</v>
      </c>
      <c r="G569" s="29">
        <f>G570</f>
        <v>20701366</v>
      </c>
      <c r="H569" s="29">
        <f t="shared" si="330"/>
        <v>20701366</v>
      </c>
      <c r="I569" s="29">
        <f t="shared" si="330"/>
        <v>20701366</v>
      </c>
      <c r="J569" s="115">
        <f t="shared" si="311"/>
        <v>100</v>
      </c>
    </row>
    <row r="570" spans="1:10">
      <c r="A570" s="182">
        <v>558</v>
      </c>
      <c r="B570" s="176" t="s">
        <v>66</v>
      </c>
      <c r="C570" s="40">
        <v>952</v>
      </c>
      <c r="D570" s="40" t="s">
        <v>121</v>
      </c>
      <c r="E570" s="34" t="s">
        <v>215</v>
      </c>
      <c r="F570" s="73">
        <v>610</v>
      </c>
      <c r="G570" s="29">
        <f>20626366+75000</f>
        <v>20701366</v>
      </c>
      <c r="H570" s="29">
        <f>20626366+75000</f>
        <v>20701366</v>
      </c>
      <c r="I570" s="29">
        <v>20701366</v>
      </c>
      <c r="J570" s="115">
        <f t="shared" si="311"/>
        <v>100</v>
      </c>
    </row>
    <row r="571" spans="1:10" ht="45">
      <c r="A571" s="182">
        <v>559</v>
      </c>
      <c r="B571" s="183" t="s">
        <v>559</v>
      </c>
      <c r="C571" s="40" t="s">
        <v>302</v>
      </c>
      <c r="D571" s="40" t="s">
        <v>121</v>
      </c>
      <c r="E571" s="34" t="s">
        <v>561</v>
      </c>
      <c r="F571" s="73"/>
      <c r="G571" s="29">
        <f>G572</f>
        <v>0</v>
      </c>
      <c r="H571" s="29">
        <f t="shared" ref="H571:I572" si="331">H572</f>
        <v>1246140</v>
      </c>
      <c r="I571" s="29">
        <f t="shared" si="331"/>
        <v>1246140</v>
      </c>
      <c r="J571" s="115">
        <f t="shared" si="311"/>
        <v>100</v>
      </c>
    </row>
    <row r="572" spans="1:10" ht="30">
      <c r="A572" s="182">
        <v>560</v>
      </c>
      <c r="B572" s="184" t="s">
        <v>48</v>
      </c>
      <c r="C572" s="40" t="s">
        <v>302</v>
      </c>
      <c r="D572" s="40" t="s">
        <v>121</v>
      </c>
      <c r="E572" s="34" t="s">
        <v>561</v>
      </c>
      <c r="F572" s="73">
        <v>600</v>
      </c>
      <c r="G572" s="29">
        <f>G573</f>
        <v>0</v>
      </c>
      <c r="H572" s="29">
        <f t="shared" si="331"/>
        <v>1246140</v>
      </c>
      <c r="I572" s="29">
        <f t="shared" si="331"/>
        <v>1246140</v>
      </c>
      <c r="J572" s="115">
        <f t="shared" si="311"/>
        <v>100</v>
      </c>
    </row>
    <row r="573" spans="1:10">
      <c r="A573" s="182">
        <v>561</v>
      </c>
      <c r="B573" s="184" t="s">
        <v>66</v>
      </c>
      <c r="C573" s="40" t="s">
        <v>302</v>
      </c>
      <c r="D573" s="40" t="s">
        <v>121</v>
      </c>
      <c r="E573" s="34" t="s">
        <v>561</v>
      </c>
      <c r="F573" s="73">
        <v>610</v>
      </c>
      <c r="G573" s="29">
        <v>0</v>
      </c>
      <c r="H573" s="29">
        <v>1246140</v>
      </c>
      <c r="I573" s="29">
        <v>1246140</v>
      </c>
      <c r="J573" s="115">
        <f t="shared" si="311"/>
        <v>100</v>
      </c>
    </row>
    <row r="574" spans="1:10" ht="23.25" customHeight="1">
      <c r="A574" s="182">
        <v>562</v>
      </c>
      <c r="B574" s="171" t="s">
        <v>65</v>
      </c>
      <c r="C574" s="40">
        <v>952</v>
      </c>
      <c r="D574" s="40" t="s">
        <v>121</v>
      </c>
      <c r="E574" s="34" t="s">
        <v>206</v>
      </c>
      <c r="F574" s="73"/>
      <c r="G574" s="29">
        <f>G575+G584+G578+G581+G587+G590+G593</f>
        <v>3161570</v>
      </c>
      <c r="H574" s="29">
        <f t="shared" ref="H574:I574" si="332">H575+H584+H578+H581+H587+H590+H593</f>
        <v>3158570</v>
      </c>
      <c r="I574" s="29">
        <f t="shared" si="332"/>
        <v>3158540</v>
      </c>
      <c r="J574" s="115">
        <f t="shared" si="311"/>
        <v>99.999050203098236</v>
      </c>
    </row>
    <row r="575" spans="1:10" ht="63">
      <c r="A575" s="182">
        <v>563</v>
      </c>
      <c r="B575" s="172" t="s">
        <v>351</v>
      </c>
      <c r="C575" s="57">
        <v>952</v>
      </c>
      <c r="D575" s="40" t="s">
        <v>121</v>
      </c>
      <c r="E575" s="34" t="s">
        <v>290</v>
      </c>
      <c r="F575" s="57"/>
      <c r="G575" s="29">
        <f t="shared" ref="G575:I575" si="333">G576</f>
        <v>100000</v>
      </c>
      <c r="H575" s="29">
        <f t="shared" si="333"/>
        <v>100000</v>
      </c>
      <c r="I575" s="29">
        <f t="shared" si="333"/>
        <v>100000</v>
      </c>
      <c r="J575" s="115">
        <f t="shared" si="311"/>
        <v>100</v>
      </c>
    </row>
    <row r="576" spans="1:10" ht="31.5">
      <c r="A576" s="182">
        <v>564</v>
      </c>
      <c r="B576" s="72" t="s">
        <v>48</v>
      </c>
      <c r="C576" s="57">
        <v>952</v>
      </c>
      <c r="D576" s="40" t="s">
        <v>121</v>
      </c>
      <c r="E576" s="34" t="s">
        <v>290</v>
      </c>
      <c r="F576" s="57">
        <v>600</v>
      </c>
      <c r="G576" s="29">
        <f>G577</f>
        <v>100000</v>
      </c>
      <c r="H576" s="29">
        <f t="shared" ref="H576:I576" si="334">H577</f>
        <v>100000</v>
      </c>
      <c r="I576" s="29">
        <f t="shared" si="334"/>
        <v>100000</v>
      </c>
      <c r="J576" s="115">
        <f t="shared" si="311"/>
        <v>100</v>
      </c>
    </row>
    <row r="577" spans="1:13" ht="15.75">
      <c r="A577" s="182">
        <v>565</v>
      </c>
      <c r="B577" s="72" t="s">
        <v>66</v>
      </c>
      <c r="C577" s="57">
        <v>952</v>
      </c>
      <c r="D577" s="40" t="s">
        <v>121</v>
      </c>
      <c r="E577" s="34" t="s">
        <v>290</v>
      </c>
      <c r="F577" s="57">
        <v>610</v>
      </c>
      <c r="G577" s="29">
        <v>100000</v>
      </c>
      <c r="H577" s="29">
        <v>100000</v>
      </c>
      <c r="I577" s="115">
        <v>100000</v>
      </c>
      <c r="J577" s="115">
        <f t="shared" si="311"/>
        <v>100</v>
      </c>
    </row>
    <row r="578" spans="1:13" ht="31.5">
      <c r="A578" s="182">
        <v>566</v>
      </c>
      <c r="B578" s="172" t="s">
        <v>467</v>
      </c>
      <c r="C578" s="57">
        <v>952</v>
      </c>
      <c r="D578" s="40" t="s">
        <v>121</v>
      </c>
      <c r="E578" s="137" t="s">
        <v>521</v>
      </c>
      <c r="F578" s="57"/>
      <c r="G578" s="29">
        <f>G579</f>
        <v>162200</v>
      </c>
      <c r="H578" s="29">
        <f t="shared" ref="H578:I579" si="335">H579</f>
        <v>162200</v>
      </c>
      <c r="I578" s="29">
        <f t="shared" si="335"/>
        <v>162200</v>
      </c>
      <c r="J578" s="115">
        <f t="shared" si="311"/>
        <v>100</v>
      </c>
    </row>
    <row r="579" spans="1:13" ht="31.5">
      <c r="A579" s="182">
        <v>567</v>
      </c>
      <c r="B579" s="72" t="s">
        <v>48</v>
      </c>
      <c r="C579" s="57">
        <v>952</v>
      </c>
      <c r="D579" s="40" t="s">
        <v>121</v>
      </c>
      <c r="E579" s="137" t="s">
        <v>521</v>
      </c>
      <c r="F579" s="57">
        <v>600</v>
      </c>
      <c r="G579" s="29">
        <f>G580</f>
        <v>162200</v>
      </c>
      <c r="H579" s="29">
        <f t="shared" si="335"/>
        <v>162200</v>
      </c>
      <c r="I579" s="29">
        <f t="shared" si="335"/>
        <v>162200</v>
      </c>
      <c r="J579" s="115">
        <f t="shared" si="311"/>
        <v>100</v>
      </c>
    </row>
    <row r="580" spans="1:13" ht="15.75">
      <c r="A580" s="182">
        <v>568</v>
      </c>
      <c r="B580" s="72" t="s">
        <v>66</v>
      </c>
      <c r="C580" s="57">
        <v>952</v>
      </c>
      <c r="D580" s="40" t="s">
        <v>121</v>
      </c>
      <c r="E580" s="137" t="s">
        <v>521</v>
      </c>
      <c r="F580" s="57">
        <v>610</v>
      </c>
      <c r="G580" s="29">
        <v>162200</v>
      </c>
      <c r="H580" s="29">
        <v>162200</v>
      </c>
      <c r="I580" s="115">
        <v>162200</v>
      </c>
      <c r="J580" s="115">
        <f t="shared" si="311"/>
        <v>100</v>
      </c>
    </row>
    <row r="581" spans="1:13" ht="54" customHeight="1">
      <c r="A581" s="182">
        <v>569</v>
      </c>
      <c r="B581" s="72" t="s">
        <v>543</v>
      </c>
      <c r="C581" s="57">
        <v>952</v>
      </c>
      <c r="D581" s="40" t="s">
        <v>121</v>
      </c>
      <c r="E581" s="137" t="s">
        <v>544</v>
      </c>
      <c r="F581" s="57"/>
      <c r="G581" s="29">
        <f>G582</f>
        <v>303030</v>
      </c>
      <c r="H581" s="29">
        <f t="shared" ref="H581:I581" si="336">H582</f>
        <v>300030</v>
      </c>
      <c r="I581" s="29">
        <f t="shared" si="336"/>
        <v>300000</v>
      </c>
      <c r="J581" s="115">
        <f t="shared" si="311"/>
        <v>99.990000999900005</v>
      </c>
    </row>
    <row r="582" spans="1:13" ht="39" customHeight="1">
      <c r="A582" s="182">
        <v>570</v>
      </c>
      <c r="B582" s="72" t="s">
        <v>512</v>
      </c>
      <c r="C582" s="57">
        <v>952</v>
      </c>
      <c r="D582" s="40" t="s">
        <v>121</v>
      </c>
      <c r="E582" s="137" t="s">
        <v>544</v>
      </c>
      <c r="F582" s="57">
        <v>600</v>
      </c>
      <c r="G582" s="29">
        <f>G583</f>
        <v>303030</v>
      </c>
      <c r="H582" s="29">
        <f t="shared" ref="H582:I582" si="337">H583</f>
        <v>300030</v>
      </c>
      <c r="I582" s="29">
        <f t="shared" si="337"/>
        <v>300000</v>
      </c>
      <c r="J582" s="115">
        <f t="shared" si="311"/>
        <v>99.990000999900005</v>
      </c>
    </row>
    <row r="583" spans="1:13" ht="15.75">
      <c r="A583" s="182">
        <v>571</v>
      </c>
      <c r="B583" s="72" t="s">
        <v>513</v>
      </c>
      <c r="C583" s="57">
        <v>952</v>
      </c>
      <c r="D583" s="40" t="s">
        <v>121</v>
      </c>
      <c r="E583" s="137" t="s">
        <v>544</v>
      </c>
      <c r="F583" s="57">
        <v>610</v>
      </c>
      <c r="G583" s="29">
        <f>300000+3030</f>
        <v>303030</v>
      </c>
      <c r="H583" s="29">
        <v>300030</v>
      </c>
      <c r="I583" s="115">
        <v>300000</v>
      </c>
      <c r="J583" s="115">
        <f t="shared" si="311"/>
        <v>99.990000999900005</v>
      </c>
    </row>
    <row r="584" spans="1:13" s="59" customFormat="1" ht="47.25">
      <c r="A584" s="182">
        <v>572</v>
      </c>
      <c r="B584" s="172" t="s">
        <v>394</v>
      </c>
      <c r="C584" s="57">
        <v>952</v>
      </c>
      <c r="D584" s="175" t="s">
        <v>121</v>
      </c>
      <c r="E584" s="175" t="s">
        <v>405</v>
      </c>
      <c r="F584" s="57"/>
      <c r="G584" s="29">
        <f t="shared" ref="G584:I585" si="338">G585</f>
        <v>244900</v>
      </c>
      <c r="H584" s="29">
        <f t="shared" si="338"/>
        <v>244900</v>
      </c>
      <c r="I584" s="29">
        <f t="shared" si="338"/>
        <v>244900</v>
      </c>
      <c r="J584" s="115">
        <f t="shared" si="311"/>
        <v>100</v>
      </c>
      <c r="K584" s="118"/>
      <c r="L584" s="118"/>
      <c r="M584" s="130"/>
    </row>
    <row r="585" spans="1:13" s="59" customFormat="1" ht="31.5">
      <c r="A585" s="182">
        <v>573</v>
      </c>
      <c r="B585" s="72" t="s">
        <v>48</v>
      </c>
      <c r="C585" s="57">
        <v>952</v>
      </c>
      <c r="D585" s="175" t="s">
        <v>121</v>
      </c>
      <c r="E585" s="175" t="s">
        <v>405</v>
      </c>
      <c r="F585" s="57">
        <v>600</v>
      </c>
      <c r="G585" s="29">
        <f t="shared" si="338"/>
        <v>244900</v>
      </c>
      <c r="H585" s="29">
        <f t="shared" si="338"/>
        <v>244900</v>
      </c>
      <c r="I585" s="29">
        <f t="shared" si="338"/>
        <v>244900</v>
      </c>
      <c r="J585" s="115">
        <f t="shared" si="311"/>
        <v>100</v>
      </c>
      <c r="K585" s="118"/>
      <c r="L585" s="118"/>
      <c r="M585" s="130"/>
    </row>
    <row r="586" spans="1:13" s="59" customFormat="1" ht="15.75">
      <c r="A586" s="182">
        <v>574</v>
      </c>
      <c r="B586" s="72" t="s">
        <v>66</v>
      </c>
      <c r="C586" s="57">
        <v>952</v>
      </c>
      <c r="D586" s="175" t="s">
        <v>121</v>
      </c>
      <c r="E586" s="175" t="s">
        <v>405</v>
      </c>
      <c r="F586" s="57">
        <v>610</v>
      </c>
      <c r="G586" s="29">
        <v>244900</v>
      </c>
      <c r="H586" s="29">
        <v>244900</v>
      </c>
      <c r="I586" s="115">
        <v>244900</v>
      </c>
      <c r="J586" s="115">
        <f t="shared" si="311"/>
        <v>100</v>
      </c>
      <c r="K586" s="118"/>
      <c r="L586" s="118"/>
      <c r="M586" s="130"/>
    </row>
    <row r="587" spans="1:13" s="59" customFormat="1" ht="49.9" customHeight="1">
      <c r="A587" s="182">
        <v>575</v>
      </c>
      <c r="B587" s="72" t="s">
        <v>525</v>
      </c>
      <c r="C587" s="57">
        <v>952</v>
      </c>
      <c r="D587" s="175" t="s">
        <v>121</v>
      </c>
      <c r="E587" s="175" t="s">
        <v>522</v>
      </c>
      <c r="F587" s="57"/>
      <c r="G587" s="29">
        <f>G588</f>
        <v>2101440</v>
      </c>
      <c r="H587" s="29">
        <f t="shared" ref="H587:I587" si="339">H588</f>
        <v>2101440</v>
      </c>
      <c r="I587" s="29">
        <f t="shared" si="339"/>
        <v>2101440</v>
      </c>
      <c r="J587" s="115">
        <f t="shared" si="311"/>
        <v>100</v>
      </c>
      <c r="K587" s="118"/>
      <c r="L587" s="118"/>
      <c r="M587" s="130"/>
    </row>
    <row r="588" spans="1:13" s="59" customFormat="1" ht="31.5">
      <c r="A588" s="182">
        <v>576</v>
      </c>
      <c r="B588" s="72" t="s">
        <v>512</v>
      </c>
      <c r="C588" s="57">
        <v>952</v>
      </c>
      <c r="D588" s="175" t="s">
        <v>121</v>
      </c>
      <c r="E588" s="175" t="s">
        <v>522</v>
      </c>
      <c r="F588" s="57">
        <v>600</v>
      </c>
      <c r="G588" s="29">
        <f>G589</f>
        <v>2101440</v>
      </c>
      <c r="H588" s="29">
        <f t="shared" ref="H588:I588" si="340">H589</f>
        <v>2101440</v>
      </c>
      <c r="I588" s="29">
        <f t="shared" si="340"/>
        <v>2101440</v>
      </c>
      <c r="J588" s="115">
        <f t="shared" si="311"/>
        <v>100</v>
      </c>
      <c r="K588" s="118"/>
      <c r="L588" s="118"/>
      <c r="M588" s="130"/>
    </row>
    <row r="589" spans="1:13" s="59" customFormat="1" ht="15.75">
      <c r="A589" s="182">
        <v>577</v>
      </c>
      <c r="B589" s="72" t="s">
        <v>513</v>
      </c>
      <c r="C589" s="57">
        <v>952</v>
      </c>
      <c r="D589" s="175" t="s">
        <v>121</v>
      </c>
      <c r="E589" s="175" t="s">
        <v>522</v>
      </c>
      <c r="F589" s="57">
        <v>610</v>
      </c>
      <c r="G589" s="29">
        <v>2101440</v>
      </c>
      <c r="H589" s="29">
        <v>2101440</v>
      </c>
      <c r="I589" s="115">
        <v>2101440</v>
      </c>
      <c r="J589" s="115">
        <f t="shared" si="311"/>
        <v>100</v>
      </c>
      <c r="K589" s="118"/>
      <c r="L589" s="118"/>
      <c r="M589" s="130"/>
    </row>
    <row r="590" spans="1:13" s="59" customFormat="1" ht="53.45" customHeight="1">
      <c r="A590" s="182">
        <v>578</v>
      </c>
      <c r="B590" s="72" t="s">
        <v>526</v>
      </c>
      <c r="C590" s="57">
        <v>952</v>
      </c>
      <c r="D590" s="175" t="s">
        <v>121</v>
      </c>
      <c r="E590" s="175" t="s">
        <v>523</v>
      </c>
      <c r="F590" s="57"/>
      <c r="G590" s="29">
        <f>G591</f>
        <v>50000</v>
      </c>
      <c r="H590" s="29">
        <f t="shared" ref="H590:I590" si="341">H591</f>
        <v>50000</v>
      </c>
      <c r="I590" s="29">
        <f t="shared" si="341"/>
        <v>50000</v>
      </c>
      <c r="J590" s="115">
        <f t="shared" si="311"/>
        <v>100</v>
      </c>
      <c r="K590" s="118"/>
      <c r="L590" s="118"/>
      <c r="M590" s="130"/>
    </row>
    <row r="591" spans="1:13" s="59" customFormat="1" ht="31.5">
      <c r="A591" s="182">
        <v>579</v>
      </c>
      <c r="B591" s="72" t="s">
        <v>512</v>
      </c>
      <c r="C591" s="57">
        <v>952</v>
      </c>
      <c r="D591" s="175" t="s">
        <v>121</v>
      </c>
      <c r="E591" s="175" t="s">
        <v>523</v>
      </c>
      <c r="F591" s="57">
        <v>600</v>
      </c>
      <c r="G591" s="29">
        <f>G592</f>
        <v>50000</v>
      </c>
      <c r="H591" s="29">
        <f t="shared" ref="H591:I591" si="342">H592</f>
        <v>50000</v>
      </c>
      <c r="I591" s="29">
        <f t="shared" si="342"/>
        <v>50000</v>
      </c>
      <c r="J591" s="115">
        <f t="shared" ref="J591:J654" si="343">I591/H591*100</f>
        <v>100</v>
      </c>
      <c r="K591" s="118"/>
      <c r="L591" s="118"/>
      <c r="M591" s="130"/>
    </row>
    <row r="592" spans="1:13" s="59" customFormat="1" ht="15.75">
      <c r="A592" s="182">
        <v>580</v>
      </c>
      <c r="B592" s="72" t="s">
        <v>513</v>
      </c>
      <c r="C592" s="57">
        <v>952</v>
      </c>
      <c r="D592" s="175" t="s">
        <v>121</v>
      </c>
      <c r="E592" s="175" t="s">
        <v>523</v>
      </c>
      <c r="F592" s="57">
        <v>610</v>
      </c>
      <c r="G592" s="29">
        <v>50000</v>
      </c>
      <c r="H592" s="29">
        <v>50000</v>
      </c>
      <c r="I592" s="115">
        <v>50000</v>
      </c>
      <c r="J592" s="115">
        <f t="shared" si="343"/>
        <v>100</v>
      </c>
      <c r="K592" s="118"/>
      <c r="L592" s="118"/>
      <c r="M592" s="130"/>
    </row>
    <row r="593" spans="1:13" s="59" customFormat="1" ht="54.6" customHeight="1">
      <c r="A593" s="182">
        <v>581</v>
      </c>
      <c r="B593" s="72" t="s">
        <v>527</v>
      </c>
      <c r="C593" s="57">
        <v>952</v>
      </c>
      <c r="D593" s="175" t="s">
        <v>121</v>
      </c>
      <c r="E593" s="175" t="s">
        <v>524</v>
      </c>
      <c r="F593" s="57"/>
      <c r="G593" s="29">
        <f>G594</f>
        <v>200000</v>
      </c>
      <c r="H593" s="29">
        <f>H594</f>
        <v>200000</v>
      </c>
      <c r="I593" s="29">
        <f>I594</f>
        <v>200000</v>
      </c>
      <c r="J593" s="115">
        <f t="shared" si="343"/>
        <v>100</v>
      </c>
      <c r="K593" s="118"/>
      <c r="L593" s="118"/>
      <c r="M593" s="130"/>
    </row>
    <row r="594" spans="1:13" s="59" customFormat="1" ht="31.5">
      <c r="A594" s="182">
        <v>582</v>
      </c>
      <c r="B594" s="72" t="s">
        <v>512</v>
      </c>
      <c r="C594" s="57">
        <v>952</v>
      </c>
      <c r="D594" s="175" t="s">
        <v>121</v>
      </c>
      <c r="E594" s="175" t="s">
        <v>524</v>
      </c>
      <c r="F594" s="57">
        <v>600</v>
      </c>
      <c r="G594" s="29">
        <f>G595</f>
        <v>200000</v>
      </c>
      <c r="H594" s="29">
        <f t="shared" ref="H594:I594" si="344">H595</f>
        <v>200000</v>
      </c>
      <c r="I594" s="29">
        <f t="shared" si="344"/>
        <v>200000</v>
      </c>
      <c r="J594" s="115">
        <f t="shared" si="343"/>
        <v>100</v>
      </c>
      <c r="K594" s="118"/>
      <c r="L594" s="118"/>
      <c r="M594" s="130"/>
    </row>
    <row r="595" spans="1:13" s="59" customFormat="1" ht="15.75">
      <c r="A595" s="182">
        <v>583</v>
      </c>
      <c r="B595" s="72" t="s">
        <v>513</v>
      </c>
      <c r="C595" s="57">
        <v>952</v>
      </c>
      <c r="D595" s="175" t="s">
        <v>121</v>
      </c>
      <c r="E595" s="175" t="s">
        <v>524</v>
      </c>
      <c r="F595" s="57">
        <v>610</v>
      </c>
      <c r="G595" s="29">
        <v>200000</v>
      </c>
      <c r="H595" s="29">
        <v>200000</v>
      </c>
      <c r="I595" s="115">
        <v>200000</v>
      </c>
      <c r="J595" s="115">
        <f t="shared" si="343"/>
        <v>100</v>
      </c>
      <c r="K595" s="118"/>
      <c r="L595" s="118"/>
      <c r="M595" s="130"/>
    </row>
    <row r="596" spans="1:13">
      <c r="A596" s="182">
        <v>584</v>
      </c>
      <c r="B596" s="176" t="s">
        <v>72</v>
      </c>
      <c r="C596" s="40">
        <v>952</v>
      </c>
      <c r="D596" s="40" t="s">
        <v>122</v>
      </c>
      <c r="E596" s="73"/>
      <c r="F596" s="73"/>
      <c r="G596" s="29">
        <f>G597+G606</f>
        <v>4401200</v>
      </c>
      <c r="H596" s="29">
        <f t="shared" ref="H596:I596" si="345">H597+H606</f>
        <v>4401200</v>
      </c>
      <c r="I596" s="29">
        <f t="shared" si="345"/>
        <v>4387256.8500000006</v>
      </c>
      <c r="J596" s="115">
        <f t="shared" si="343"/>
        <v>99.683196628192334</v>
      </c>
    </row>
    <row r="597" spans="1:13">
      <c r="A597" s="182">
        <v>585</v>
      </c>
      <c r="B597" s="171" t="s">
        <v>315</v>
      </c>
      <c r="C597" s="40">
        <v>952</v>
      </c>
      <c r="D597" s="40" t="s">
        <v>122</v>
      </c>
      <c r="E597" s="40" t="s">
        <v>187</v>
      </c>
      <c r="F597" s="73"/>
      <c r="G597" s="29">
        <f t="shared" ref="G597:I598" si="346">G598</f>
        <v>4361200</v>
      </c>
      <c r="H597" s="29">
        <f t="shared" si="346"/>
        <v>4361200</v>
      </c>
      <c r="I597" s="29">
        <f t="shared" si="346"/>
        <v>4347561.8500000006</v>
      </c>
      <c r="J597" s="115">
        <f t="shared" si="343"/>
        <v>99.687284462991855</v>
      </c>
    </row>
    <row r="598" spans="1:13">
      <c r="A598" s="182">
        <v>586</v>
      </c>
      <c r="B598" s="171" t="s">
        <v>65</v>
      </c>
      <c r="C598" s="40">
        <v>952</v>
      </c>
      <c r="D598" s="40" t="s">
        <v>122</v>
      </c>
      <c r="E598" s="40" t="s">
        <v>206</v>
      </c>
      <c r="F598" s="73"/>
      <c r="G598" s="29">
        <f t="shared" si="346"/>
        <v>4361200</v>
      </c>
      <c r="H598" s="29">
        <f t="shared" si="346"/>
        <v>4361200</v>
      </c>
      <c r="I598" s="29">
        <f t="shared" si="346"/>
        <v>4347561.8500000006</v>
      </c>
      <c r="J598" s="115">
        <f t="shared" si="343"/>
        <v>99.687284462991855</v>
      </c>
    </row>
    <row r="599" spans="1:13" ht="45">
      <c r="A599" s="182">
        <v>587</v>
      </c>
      <c r="B599" s="171" t="s">
        <v>360</v>
      </c>
      <c r="C599" s="40">
        <v>952</v>
      </c>
      <c r="D599" s="40" t="s">
        <v>122</v>
      </c>
      <c r="E599" s="40" t="s">
        <v>207</v>
      </c>
      <c r="F599" s="73"/>
      <c r="G599" s="29">
        <f t="shared" ref="G599" si="347">G600+G602+G604</f>
        <v>4361200</v>
      </c>
      <c r="H599" s="29">
        <f t="shared" ref="H599:I599" si="348">H600+H602+H604</f>
        <v>4361200</v>
      </c>
      <c r="I599" s="29">
        <f t="shared" si="348"/>
        <v>4347561.8500000006</v>
      </c>
      <c r="J599" s="115">
        <f t="shared" si="343"/>
        <v>99.687284462991855</v>
      </c>
    </row>
    <row r="600" spans="1:13" ht="45">
      <c r="A600" s="182">
        <v>588</v>
      </c>
      <c r="B600" s="176" t="s">
        <v>14</v>
      </c>
      <c r="C600" s="40">
        <v>952</v>
      </c>
      <c r="D600" s="40" t="s">
        <v>122</v>
      </c>
      <c r="E600" s="40" t="s">
        <v>207</v>
      </c>
      <c r="F600" s="73">
        <v>100</v>
      </c>
      <c r="G600" s="29">
        <f t="shared" ref="G600:I600" si="349">G601</f>
        <v>3913901</v>
      </c>
      <c r="H600" s="29">
        <f t="shared" si="349"/>
        <v>3913901</v>
      </c>
      <c r="I600" s="29">
        <f t="shared" si="349"/>
        <v>3908299.02</v>
      </c>
      <c r="J600" s="115">
        <f t="shared" si="343"/>
        <v>99.85686965510881</v>
      </c>
    </row>
    <row r="601" spans="1:13">
      <c r="A601" s="182">
        <v>589</v>
      </c>
      <c r="B601" s="176" t="s">
        <v>62</v>
      </c>
      <c r="C601" s="40">
        <v>952</v>
      </c>
      <c r="D601" s="40" t="s">
        <v>122</v>
      </c>
      <c r="E601" s="40" t="s">
        <v>207</v>
      </c>
      <c r="F601" s="73">
        <v>110</v>
      </c>
      <c r="G601" s="29">
        <f>3797681+118600-2380</f>
        <v>3913901</v>
      </c>
      <c r="H601" s="29">
        <v>3913901</v>
      </c>
      <c r="I601" s="115">
        <v>3908299.02</v>
      </c>
      <c r="J601" s="115">
        <f t="shared" si="343"/>
        <v>99.85686965510881</v>
      </c>
    </row>
    <row r="602" spans="1:13">
      <c r="A602" s="182">
        <v>590</v>
      </c>
      <c r="B602" s="176" t="s">
        <v>19</v>
      </c>
      <c r="C602" s="40">
        <v>952</v>
      </c>
      <c r="D602" s="40" t="s">
        <v>122</v>
      </c>
      <c r="E602" s="40" t="s">
        <v>207</v>
      </c>
      <c r="F602" s="73">
        <v>200</v>
      </c>
      <c r="G602" s="29">
        <f t="shared" ref="G602:I602" si="350">G603</f>
        <v>446299</v>
      </c>
      <c r="H602" s="29">
        <f t="shared" si="350"/>
        <v>446299</v>
      </c>
      <c r="I602" s="29">
        <f t="shared" si="350"/>
        <v>439262.68</v>
      </c>
      <c r="J602" s="115">
        <f t="shared" si="343"/>
        <v>98.42340672956918</v>
      </c>
    </row>
    <row r="603" spans="1:13">
      <c r="A603" s="182">
        <v>591</v>
      </c>
      <c r="B603" s="176" t="s">
        <v>20</v>
      </c>
      <c r="C603" s="40">
        <v>952</v>
      </c>
      <c r="D603" s="40" t="s">
        <v>122</v>
      </c>
      <c r="E603" s="40" t="s">
        <v>207</v>
      </c>
      <c r="F603" s="73">
        <v>240</v>
      </c>
      <c r="G603" s="29">
        <f>443919+2380</f>
        <v>446299</v>
      </c>
      <c r="H603" s="29">
        <v>446299</v>
      </c>
      <c r="I603" s="115">
        <v>439262.68</v>
      </c>
      <c r="J603" s="115">
        <f t="shared" si="343"/>
        <v>98.42340672956918</v>
      </c>
    </row>
    <row r="604" spans="1:13">
      <c r="A604" s="182">
        <v>592</v>
      </c>
      <c r="B604" s="176" t="s">
        <v>31</v>
      </c>
      <c r="C604" s="40">
        <v>952</v>
      </c>
      <c r="D604" s="40" t="s">
        <v>122</v>
      </c>
      <c r="E604" s="40" t="s">
        <v>207</v>
      </c>
      <c r="F604" s="73">
        <v>800</v>
      </c>
      <c r="G604" s="29">
        <f t="shared" ref="G604:I604" si="351">G605</f>
        <v>1000</v>
      </c>
      <c r="H604" s="29">
        <f t="shared" si="351"/>
        <v>1000</v>
      </c>
      <c r="I604" s="29">
        <f t="shared" si="351"/>
        <v>0.15</v>
      </c>
      <c r="J604" s="115">
        <f t="shared" si="343"/>
        <v>1.4999999999999999E-2</v>
      </c>
    </row>
    <row r="605" spans="1:13">
      <c r="A605" s="182">
        <v>593</v>
      </c>
      <c r="B605" s="176" t="s">
        <v>79</v>
      </c>
      <c r="C605" s="40">
        <v>952</v>
      </c>
      <c r="D605" s="40" t="s">
        <v>122</v>
      </c>
      <c r="E605" s="40" t="s">
        <v>207</v>
      </c>
      <c r="F605" s="73">
        <v>850</v>
      </c>
      <c r="G605" s="29">
        <v>1000</v>
      </c>
      <c r="H605" s="29">
        <v>1000</v>
      </c>
      <c r="I605" s="115">
        <v>0.15</v>
      </c>
      <c r="J605" s="115">
        <f t="shared" si="343"/>
        <v>1.4999999999999999E-2</v>
      </c>
    </row>
    <row r="606" spans="1:13">
      <c r="A606" s="182">
        <v>594</v>
      </c>
      <c r="B606" s="176" t="s">
        <v>237</v>
      </c>
      <c r="C606" s="40" t="s">
        <v>302</v>
      </c>
      <c r="D606" s="40" t="s">
        <v>464</v>
      </c>
      <c r="E606" s="40" t="s">
        <v>238</v>
      </c>
      <c r="F606" s="73"/>
      <c r="G606" s="29">
        <f>G607</f>
        <v>40000</v>
      </c>
      <c r="H606" s="29">
        <f t="shared" ref="H606:I608" si="352">H607</f>
        <v>40000</v>
      </c>
      <c r="I606" s="29">
        <f t="shared" si="352"/>
        <v>39695</v>
      </c>
      <c r="J606" s="115">
        <f t="shared" si="343"/>
        <v>99.237499999999997</v>
      </c>
    </row>
    <row r="607" spans="1:13" ht="55.5" customHeight="1">
      <c r="A607" s="182">
        <v>595</v>
      </c>
      <c r="B607" s="176" t="s">
        <v>465</v>
      </c>
      <c r="C607" s="40" t="s">
        <v>302</v>
      </c>
      <c r="D607" s="40" t="s">
        <v>122</v>
      </c>
      <c r="E607" s="40" t="s">
        <v>466</v>
      </c>
      <c r="F607" s="73"/>
      <c r="G607" s="29">
        <f>G608</f>
        <v>40000</v>
      </c>
      <c r="H607" s="29">
        <f t="shared" si="352"/>
        <v>40000</v>
      </c>
      <c r="I607" s="29">
        <f t="shared" si="352"/>
        <v>39695</v>
      </c>
      <c r="J607" s="115">
        <f t="shared" si="343"/>
        <v>99.237499999999997</v>
      </c>
    </row>
    <row r="608" spans="1:13" ht="31.5">
      <c r="A608" s="182">
        <v>596</v>
      </c>
      <c r="B608" s="72" t="s">
        <v>48</v>
      </c>
      <c r="C608" s="40" t="s">
        <v>302</v>
      </c>
      <c r="D608" s="40" t="s">
        <v>122</v>
      </c>
      <c r="E608" s="40" t="s">
        <v>466</v>
      </c>
      <c r="F608" s="73">
        <v>600</v>
      </c>
      <c r="G608" s="29">
        <f>G609</f>
        <v>40000</v>
      </c>
      <c r="H608" s="29">
        <f t="shared" si="352"/>
        <v>40000</v>
      </c>
      <c r="I608" s="29">
        <f t="shared" si="352"/>
        <v>39695</v>
      </c>
      <c r="J608" s="115">
        <f t="shared" si="343"/>
        <v>99.237499999999997</v>
      </c>
    </row>
    <row r="609" spans="1:10" ht="15.75">
      <c r="A609" s="182">
        <v>597</v>
      </c>
      <c r="B609" s="72" t="s">
        <v>66</v>
      </c>
      <c r="C609" s="40" t="s">
        <v>302</v>
      </c>
      <c r="D609" s="40" t="s">
        <v>122</v>
      </c>
      <c r="E609" s="40" t="s">
        <v>466</v>
      </c>
      <c r="F609" s="73">
        <v>610</v>
      </c>
      <c r="G609" s="29">
        <v>40000</v>
      </c>
      <c r="H609" s="29">
        <v>40000</v>
      </c>
      <c r="I609" s="115">
        <v>39695</v>
      </c>
      <c r="J609" s="115">
        <f t="shared" si="343"/>
        <v>99.237499999999997</v>
      </c>
    </row>
    <row r="610" spans="1:10" ht="15.75">
      <c r="A610" s="182">
        <v>598</v>
      </c>
      <c r="B610" s="172" t="s">
        <v>246</v>
      </c>
      <c r="C610" s="57">
        <v>952</v>
      </c>
      <c r="D610" s="58" t="s">
        <v>248</v>
      </c>
      <c r="E610" s="175"/>
      <c r="F610" s="57"/>
      <c r="G610" s="29">
        <f t="shared" ref="G610:I610" si="353">G611</f>
        <v>98000</v>
      </c>
      <c r="H610" s="29">
        <f t="shared" si="353"/>
        <v>98000</v>
      </c>
      <c r="I610" s="29">
        <f t="shared" si="353"/>
        <v>97160</v>
      </c>
      <c r="J610" s="115">
        <f t="shared" si="343"/>
        <v>99.142857142857139</v>
      </c>
    </row>
    <row r="611" spans="1:10" ht="15.75">
      <c r="A611" s="182">
        <v>599</v>
      </c>
      <c r="B611" s="108" t="s">
        <v>247</v>
      </c>
      <c r="C611" s="57">
        <v>952</v>
      </c>
      <c r="D611" s="58">
        <v>1101</v>
      </c>
      <c r="E611" s="175"/>
      <c r="F611" s="57"/>
      <c r="G611" s="29">
        <f t="shared" ref="G611:I611" si="354">G612</f>
        <v>98000</v>
      </c>
      <c r="H611" s="29">
        <f t="shared" si="354"/>
        <v>98000</v>
      </c>
      <c r="I611" s="29">
        <f t="shared" si="354"/>
        <v>97160</v>
      </c>
      <c r="J611" s="115">
        <f t="shared" si="343"/>
        <v>99.142857142857139</v>
      </c>
    </row>
    <row r="612" spans="1:10" ht="30">
      <c r="A612" s="182">
        <v>600</v>
      </c>
      <c r="B612" s="68" t="s">
        <v>249</v>
      </c>
      <c r="C612" s="175">
        <v>952</v>
      </c>
      <c r="D612" s="175" t="s">
        <v>250</v>
      </c>
      <c r="E612" s="175" t="s">
        <v>358</v>
      </c>
      <c r="F612" s="57"/>
      <c r="G612" s="29">
        <f t="shared" ref="G612" si="355">G613+G617</f>
        <v>98000</v>
      </c>
      <c r="H612" s="29">
        <f t="shared" ref="H612:I612" si="356">H613+H617</f>
        <v>98000</v>
      </c>
      <c r="I612" s="29">
        <f t="shared" si="356"/>
        <v>97160</v>
      </c>
      <c r="J612" s="115">
        <f t="shared" si="343"/>
        <v>99.142857142857139</v>
      </c>
    </row>
    <row r="613" spans="1:10" ht="30">
      <c r="A613" s="182">
        <v>601</v>
      </c>
      <c r="B613" s="173" t="s">
        <v>312</v>
      </c>
      <c r="C613" s="57">
        <v>952</v>
      </c>
      <c r="D613" s="58" t="s">
        <v>250</v>
      </c>
      <c r="E613" s="175" t="s">
        <v>352</v>
      </c>
      <c r="F613" s="57"/>
      <c r="G613" s="29">
        <f t="shared" ref="G613:I613" si="357">G614</f>
        <v>50000</v>
      </c>
      <c r="H613" s="29">
        <f t="shared" si="357"/>
        <v>50000</v>
      </c>
      <c r="I613" s="29">
        <f t="shared" si="357"/>
        <v>50000</v>
      </c>
      <c r="J613" s="115">
        <f t="shared" si="343"/>
        <v>100</v>
      </c>
    </row>
    <row r="614" spans="1:10" ht="60">
      <c r="A614" s="182">
        <v>602</v>
      </c>
      <c r="B614" s="173" t="s">
        <v>356</v>
      </c>
      <c r="C614" s="57">
        <v>952</v>
      </c>
      <c r="D614" s="58" t="s">
        <v>250</v>
      </c>
      <c r="E614" s="175" t="s">
        <v>353</v>
      </c>
      <c r="F614" s="57"/>
      <c r="G614" s="29">
        <f t="shared" ref="G614:I615" si="358">G615</f>
        <v>50000</v>
      </c>
      <c r="H614" s="29">
        <f t="shared" si="358"/>
        <v>50000</v>
      </c>
      <c r="I614" s="29">
        <f t="shared" si="358"/>
        <v>50000</v>
      </c>
      <c r="J614" s="115">
        <f t="shared" si="343"/>
        <v>100</v>
      </c>
    </row>
    <row r="615" spans="1:10" ht="31.5">
      <c r="A615" s="182">
        <v>603</v>
      </c>
      <c r="B615" s="72" t="s">
        <v>48</v>
      </c>
      <c r="C615" s="57">
        <v>952</v>
      </c>
      <c r="D615" s="58" t="s">
        <v>250</v>
      </c>
      <c r="E615" s="175" t="s">
        <v>353</v>
      </c>
      <c r="F615" s="57">
        <v>600</v>
      </c>
      <c r="G615" s="29">
        <f t="shared" ref="G615" si="359">G616</f>
        <v>50000</v>
      </c>
      <c r="H615" s="29">
        <f t="shared" si="358"/>
        <v>50000</v>
      </c>
      <c r="I615" s="29">
        <f t="shared" si="358"/>
        <v>50000</v>
      </c>
      <c r="J615" s="115">
        <f t="shared" si="343"/>
        <v>100</v>
      </c>
    </row>
    <row r="616" spans="1:10" ht="15.75">
      <c r="A616" s="182">
        <v>604</v>
      </c>
      <c r="B616" s="72" t="s">
        <v>66</v>
      </c>
      <c r="C616" s="57">
        <v>952</v>
      </c>
      <c r="D616" s="58" t="s">
        <v>250</v>
      </c>
      <c r="E616" s="175" t="s">
        <v>353</v>
      </c>
      <c r="F616" s="57">
        <v>610</v>
      </c>
      <c r="G616" s="29">
        <v>50000</v>
      </c>
      <c r="H616" s="29">
        <v>50000</v>
      </c>
      <c r="I616" s="115">
        <v>50000</v>
      </c>
      <c r="J616" s="115">
        <f t="shared" si="343"/>
        <v>100</v>
      </c>
    </row>
    <row r="617" spans="1:10" ht="31.5">
      <c r="A617" s="182">
        <v>605</v>
      </c>
      <c r="B617" s="172" t="s">
        <v>313</v>
      </c>
      <c r="C617" s="57">
        <v>952</v>
      </c>
      <c r="D617" s="58" t="s">
        <v>250</v>
      </c>
      <c r="E617" s="175" t="s">
        <v>354</v>
      </c>
      <c r="F617" s="57"/>
      <c r="G617" s="29">
        <f t="shared" ref="G617:I619" si="360">G618</f>
        <v>48000</v>
      </c>
      <c r="H617" s="29">
        <f t="shared" si="360"/>
        <v>48000</v>
      </c>
      <c r="I617" s="29">
        <f t="shared" si="360"/>
        <v>47160</v>
      </c>
      <c r="J617" s="115">
        <f t="shared" si="343"/>
        <v>98.25</v>
      </c>
    </row>
    <row r="618" spans="1:10" ht="78.75">
      <c r="A618" s="182">
        <v>606</v>
      </c>
      <c r="B618" s="172" t="s">
        <v>357</v>
      </c>
      <c r="C618" s="57">
        <v>952</v>
      </c>
      <c r="D618" s="58" t="s">
        <v>250</v>
      </c>
      <c r="E618" s="175" t="s">
        <v>355</v>
      </c>
      <c r="F618" s="57"/>
      <c r="G618" s="29">
        <f t="shared" si="360"/>
        <v>48000</v>
      </c>
      <c r="H618" s="29">
        <f t="shared" si="360"/>
        <v>48000</v>
      </c>
      <c r="I618" s="29">
        <f t="shared" si="360"/>
        <v>47160</v>
      </c>
      <c r="J618" s="115">
        <f t="shared" si="343"/>
        <v>98.25</v>
      </c>
    </row>
    <row r="619" spans="1:10" ht="31.5">
      <c r="A619" s="182">
        <v>607</v>
      </c>
      <c r="B619" s="72" t="s">
        <v>48</v>
      </c>
      <c r="C619" s="57">
        <v>952</v>
      </c>
      <c r="D619" s="58" t="s">
        <v>250</v>
      </c>
      <c r="E619" s="175" t="s">
        <v>355</v>
      </c>
      <c r="F619" s="57">
        <v>600</v>
      </c>
      <c r="G619" s="29">
        <f t="shared" si="360"/>
        <v>48000</v>
      </c>
      <c r="H619" s="29">
        <f t="shared" si="360"/>
        <v>48000</v>
      </c>
      <c r="I619" s="29">
        <f t="shared" si="360"/>
        <v>47160</v>
      </c>
      <c r="J619" s="115">
        <f t="shared" si="343"/>
        <v>98.25</v>
      </c>
    </row>
    <row r="620" spans="1:10" ht="15.75">
      <c r="A620" s="182">
        <v>608</v>
      </c>
      <c r="B620" s="72" t="s">
        <v>66</v>
      </c>
      <c r="C620" s="57">
        <v>952</v>
      </c>
      <c r="D620" s="58" t="s">
        <v>250</v>
      </c>
      <c r="E620" s="175" t="s">
        <v>355</v>
      </c>
      <c r="F620" s="57">
        <v>610</v>
      </c>
      <c r="G620" s="29">
        <v>48000</v>
      </c>
      <c r="H620" s="29">
        <v>48000</v>
      </c>
      <c r="I620" s="115">
        <v>47160</v>
      </c>
      <c r="J620" s="115">
        <f t="shared" si="343"/>
        <v>98.25</v>
      </c>
    </row>
    <row r="621" spans="1:10" ht="30" customHeight="1">
      <c r="A621" s="182">
        <v>609</v>
      </c>
      <c r="B621" s="49" t="s">
        <v>235</v>
      </c>
      <c r="C621" s="46">
        <v>955</v>
      </c>
      <c r="D621" s="43"/>
      <c r="E621" s="43"/>
      <c r="F621" s="43"/>
      <c r="G621" s="44">
        <f t="shared" ref="G621:I624" si="361">G622</f>
        <v>4032494.05</v>
      </c>
      <c r="H621" s="44">
        <f t="shared" si="361"/>
        <v>4032494.05</v>
      </c>
      <c r="I621" s="44">
        <f t="shared" si="361"/>
        <v>3999725.6900000004</v>
      </c>
      <c r="J621" s="190">
        <f t="shared" si="343"/>
        <v>99.187392229382226</v>
      </c>
    </row>
    <row r="622" spans="1:10">
      <c r="A622" s="182">
        <v>610</v>
      </c>
      <c r="B622" s="64" t="s">
        <v>84</v>
      </c>
      <c r="C622" s="175">
        <v>955</v>
      </c>
      <c r="D622" s="175" t="s">
        <v>85</v>
      </c>
      <c r="E622" s="73"/>
      <c r="F622" s="73"/>
      <c r="G622" s="29">
        <f t="shared" si="361"/>
        <v>4032494.05</v>
      </c>
      <c r="H622" s="29">
        <f t="shared" si="361"/>
        <v>4032494.05</v>
      </c>
      <c r="I622" s="29">
        <f t="shared" si="361"/>
        <v>3999725.6900000004</v>
      </c>
      <c r="J622" s="115">
        <f t="shared" si="343"/>
        <v>99.187392229382226</v>
      </c>
    </row>
    <row r="623" spans="1:10" ht="30">
      <c r="A623" s="182">
        <v>611</v>
      </c>
      <c r="B623" s="176" t="s">
        <v>11</v>
      </c>
      <c r="C623" s="40">
        <v>955</v>
      </c>
      <c r="D623" s="40" t="s">
        <v>91</v>
      </c>
      <c r="E623" s="73"/>
      <c r="F623" s="73"/>
      <c r="G623" s="29">
        <f t="shared" si="361"/>
        <v>4032494.05</v>
      </c>
      <c r="H623" s="29">
        <f t="shared" si="361"/>
        <v>4032494.05</v>
      </c>
      <c r="I623" s="29">
        <f t="shared" si="361"/>
        <v>3999725.6900000004</v>
      </c>
      <c r="J623" s="115">
        <f t="shared" si="343"/>
        <v>99.187392229382226</v>
      </c>
    </row>
    <row r="624" spans="1:10">
      <c r="A624" s="182">
        <v>612</v>
      </c>
      <c r="B624" s="176" t="s">
        <v>275</v>
      </c>
      <c r="C624" s="40">
        <v>955</v>
      </c>
      <c r="D624" s="40" t="s">
        <v>91</v>
      </c>
      <c r="E624" s="73">
        <v>8200000000</v>
      </c>
      <c r="F624" s="73"/>
      <c r="G624" s="29">
        <f t="shared" si="361"/>
        <v>4032494.05</v>
      </c>
      <c r="H624" s="29">
        <f t="shared" si="361"/>
        <v>4032494.05</v>
      </c>
      <c r="I624" s="29">
        <f t="shared" si="361"/>
        <v>3999725.6900000004</v>
      </c>
      <c r="J624" s="115">
        <f t="shared" si="343"/>
        <v>99.187392229382226</v>
      </c>
    </row>
    <row r="625" spans="1:10">
      <c r="A625" s="182">
        <v>613</v>
      </c>
      <c r="B625" s="177" t="s">
        <v>276</v>
      </c>
      <c r="C625" s="40">
        <v>955</v>
      </c>
      <c r="D625" s="40" t="s">
        <v>91</v>
      </c>
      <c r="E625" s="73">
        <v>8210000000</v>
      </c>
      <c r="F625" s="73"/>
      <c r="G625" s="29">
        <f>G626+G633+G636</f>
        <v>4032494.05</v>
      </c>
      <c r="H625" s="29">
        <f t="shared" ref="H625:I625" si="362">H626+H633+H636</f>
        <v>4032494.05</v>
      </c>
      <c r="I625" s="29">
        <f t="shared" si="362"/>
        <v>3999725.6900000004</v>
      </c>
      <c r="J625" s="115">
        <f t="shared" si="343"/>
        <v>99.187392229382226</v>
      </c>
    </row>
    <row r="626" spans="1:10">
      <c r="A626" s="182">
        <v>614</v>
      </c>
      <c r="B626" s="176" t="s">
        <v>74</v>
      </c>
      <c r="C626" s="40">
        <v>955</v>
      </c>
      <c r="D626" s="40" t="s">
        <v>91</v>
      </c>
      <c r="E626" s="73">
        <v>8210000210</v>
      </c>
      <c r="F626" s="73"/>
      <c r="G626" s="29">
        <f t="shared" ref="G626:I626" si="363">G627+G629+G631</f>
        <v>2184484.1399999997</v>
      </c>
      <c r="H626" s="29">
        <f t="shared" si="363"/>
        <v>2184484.1399999997</v>
      </c>
      <c r="I626" s="29">
        <f t="shared" si="363"/>
        <v>2151715.7800000003</v>
      </c>
      <c r="J626" s="115">
        <f t="shared" si="343"/>
        <v>98.499949740994708</v>
      </c>
    </row>
    <row r="627" spans="1:10" ht="45">
      <c r="A627" s="182">
        <v>615</v>
      </c>
      <c r="B627" s="176" t="s">
        <v>14</v>
      </c>
      <c r="C627" s="40">
        <v>955</v>
      </c>
      <c r="D627" s="40" t="s">
        <v>91</v>
      </c>
      <c r="E627" s="73">
        <v>8210000210</v>
      </c>
      <c r="F627" s="73">
        <v>100</v>
      </c>
      <c r="G627" s="29">
        <f t="shared" ref="G627:I627" si="364">G628</f>
        <v>1894782.14</v>
      </c>
      <c r="H627" s="29">
        <f t="shared" si="364"/>
        <v>1894782.14</v>
      </c>
      <c r="I627" s="29">
        <f t="shared" si="364"/>
        <v>1869116.03</v>
      </c>
      <c r="J627" s="115">
        <f t="shared" si="343"/>
        <v>98.645432133954998</v>
      </c>
    </row>
    <row r="628" spans="1:10">
      <c r="A628" s="182">
        <v>616</v>
      </c>
      <c r="B628" s="176" t="s">
        <v>15</v>
      </c>
      <c r="C628" s="40">
        <v>955</v>
      </c>
      <c r="D628" s="40" t="s">
        <v>91</v>
      </c>
      <c r="E628" s="73">
        <v>8210000210</v>
      </c>
      <c r="F628" s="73">
        <v>120</v>
      </c>
      <c r="G628" s="29">
        <f>1153564.04+728871.46+22346.64-10000</f>
        <v>1894782.14</v>
      </c>
      <c r="H628" s="29">
        <v>1894782.14</v>
      </c>
      <c r="I628" s="115">
        <v>1869116.03</v>
      </c>
      <c r="J628" s="115">
        <f t="shared" si="343"/>
        <v>98.645432133954998</v>
      </c>
    </row>
    <row r="629" spans="1:10">
      <c r="A629" s="182">
        <v>617</v>
      </c>
      <c r="B629" s="176" t="s">
        <v>19</v>
      </c>
      <c r="C629" s="40">
        <v>955</v>
      </c>
      <c r="D629" s="40" t="s">
        <v>91</v>
      </c>
      <c r="E629" s="73">
        <v>8210000210</v>
      </c>
      <c r="F629" s="73">
        <v>200</v>
      </c>
      <c r="G629" s="29">
        <f t="shared" ref="G629:I629" si="365">G630</f>
        <v>289202</v>
      </c>
      <c r="H629" s="29">
        <f t="shared" si="365"/>
        <v>289202</v>
      </c>
      <c r="I629" s="29">
        <f t="shared" si="365"/>
        <v>282599.75</v>
      </c>
      <c r="J629" s="115">
        <f t="shared" si="343"/>
        <v>97.717080103180479</v>
      </c>
    </row>
    <row r="630" spans="1:10">
      <c r="A630" s="182">
        <v>618</v>
      </c>
      <c r="B630" s="176" t="s">
        <v>20</v>
      </c>
      <c r="C630" s="40">
        <v>955</v>
      </c>
      <c r="D630" s="40" t="s">
        <v>91</v>
      </c>
      <c r="E630" s="73">
        <v>8210000210</v>
      </c>
      <c r="F630" s="73">
        <v>240</v>
      </c>
      <c r="G630" s="29">
        <f>299202+60000-70000</f>
        <v>289202</v>
      </c>
      <c r="H630" s="29">
        <v>289202</v>
      </c>
      <c r="I630" s="115">
        <v>282599.75</v>
      </c>
      <c r="J630" s="115">
        <f t="shared" si="343"/>
        <v>97.717080103180479</v>
      </c>
    </row>
    <row r="631" spans="1:10">
      <c r="A631" s="182">
        <v>619</v>
      </c>
      <c r="B631" s="176" t="s">
        <v>31</v>
      </c>
      <c r="C631" s="40">
        <v>955</v>
      </c>
      <c r="D631" s="40" t="s">
        <v>91</v>
      </c>
      <c r="E631" s="73">
        <v>8210000210</v>
      </c>
      <c r="F631" s="73">
        <v>800</v>
      </c>
      <c r="G631" s="29">
        <f t="shared" ref="G631:I631" si="366">G632</f>
        <v>500</v>
      </c>
      <c r="H631" s="29">
        <f t="shared" si="366"/>
        <v>500</v>
      </c>
      <c r="I631" s="29">
        <f t="shared" si="366"/>
        <v>0</v>
      </c>
      <c r="J631" s="115">
        <f t="shared" si="343"/>
        <v>0</v>
      </c>
    </row>
    <row r="632" spans="1:10">
      <c r="A632" s="182">
        <v>620</v>
      </c>
      <c r="B632" s="176" t="s">
        <v>79</v>
      </c>
      <c r="C632" s="40">
        <v>955</v>
      </c>
      <c r="D632" s="40" t="s">
        <v>91</v>
      </c>
      <c r="E632" s="73">
        <v>8210000210</v>
      </c>
      <c r="F632" s="73">
        <v>850</v>
      </c>
      <c r="G632" s="29">
        <v>500</v>
      </c>
      <c r="H632" s="29">
        <v>500</v>
      </c>
      <c r="I632" s="29">
        <v>0</v>
      </c>
      <c r="J632" s="115">
        <f t="shared" si="343"/>
        <v>0</v>
      </c>
    </row>
    <row r="633" spans="1:10">
      <c r="A633" s="182">
        <v>621</v>
      </c>
      <c r="B633" s="177" t="s">
        <v>457</v>
      </c>
      <c r="C633" s="40">
        <v>955</v>
      </c>
      <c r="D633" s="40" t="s">
        <v>91</v>
      </c>
      <c r="E633" s="73">
        <v>8210000250</v>
      </c>
      <c r="F633" s="73"/>
      <c r="G633" s="29">
        <f t="shared" ref="G633:I634" si="367">G634</f>
        <v>1364227.9100000001</v>
      </c>
      <c r="H633" s="29">
        <f t="shared" si="367"/>
        <v>1364227.91</v>
      </c>
      <c r="I633" s="29">
        <f t="shared" si="367"/>
        <v>1364227.91</v>
      </c>
      <c r="J633" s="115">
        <f t="shared" si="343"/>
        <v>100</v>
      </c>
    </row>
    <row r="634" spans="1:10" ht="45">
      <c r="A634" s="182">
        <v>622</v>
      </c>
      <c r="B634" s="176" t="s">
        <v>14</v>
      </c>
      <c r="C634" s="40">
        <v>955</v>
      </c>
      <c r="D634" s="40" t="s">
        <v>91</v>
      </c>
      <c r="E634" s="73">
        <v>8210000250</v>
      </c>
      <c r="F634" s="73">
        <v>100</v>
      </c>
      <c r="G634" s="29">
        <f t="shared" si="367"/>
        <v>1364227.9100000001</v>
      </c>
      <c r="H634" s="29">
        <f t="shared" si="367"/>
        <v>1364227.91</v>
      </c>
      <c r="I634" s="29">
        <f t="shared" si="367"/>
        <v>1364227.91</v>
      </c>
      <c r="J634" s="115">
        <f t="shared" si="343"/>
        <v>100</v>
      </c>
    </row>
    <row r="635" spans="1:10">
      <c r="A635" s="182">
        <v>623</v>
      </c>
      <c r="B635" s="176" t="s">
        <v>15</v>
      </c>
      <c r="C635" s="40">
        <v>955</v>
      </c>
      <c r="D635" s="40" t="s">
        <v>91</v>
      </c>
      <c r="E635" s="73">
        <v>8210000250</v>
      </c>
      <c r="F635" s="73">
        <v>120</v>
      </c>
      <c r="G635" s="29">
        <f>1298240.03+40896.76+25091.12</f>
        <v>1364227.9100000001</v>
      </c>
      <c r="H635" s="29">
        <v>1364227.91</v>
      </c>
      <c r="I635" s="115">
        <v>1364227.91</v>
      </c>
      <c r="J635" s="115">
        <f t="shared" si="343"/>
        <v>100</v>
      </c>
    </row>
    <row r="636" spans="1:10" ht="30">
      <c r="A636" s="182">
        <v>624</v>
      </c>
      <c r="B636" s="132" t="s">
        <v>494</v>
      </c>
      <c r="C636" s="40" t="s">
        <v>495</v>
      </c>
      <c r="D636" s="40" t="s">
        <v>91</v>
      </c>
      <c r="E636" s="112">
        <v>8210084600</v>
      </c>
      <c r="F636" s="73"/>
      <c r="G636" s="29">
        <f>G637</f>
        <v>483782</v>
      </c>
      <c r="H636" s="29">
        <f t="shared" ref="H636:I637" si="368">H637</f>
        <v>483782</v>
      </c>
      <c r="I636" s="29">
        <f t="shared" si="368"/>
        <v>483782</v>
      </c>
      <c r="J636" s="115">
        <f t="shared" si="343"/>
        <v>100</v>
      </c>
    </row>
    <row r="637" spans="1:10" ht="45">
      <c r="A637" s="182">
        <v>625</v>
      </c>
      <c r="B637" s="176" t="s">
        <v>14</v>
      </c>
      <c r="C637" s="40" t="s">
        <v>495</v>
      </c>
      <c r="D637" s="40" t="s">
        <v>91</v>
      </c>
      <c r="E637" s="73">
        <v>8210084600</v>
      </c>
      <c r="F637" s="73">
        <v>100</v>
      </c>
      <c r="G637" s="29">
        <f>G638</f>
        <v>483782</v>
      </c>
      <c r="H637" s="29">
        <f t="shared" si="368"/>
        <v>483782</v>
      </c>
      <c r="I637" s="29">
        <f t="shared" si="368"/>
        <v>483782</v>
      </c>
      <c r="J637" s="115">
        <f t="shared" si="343"/>
        <v>100</v>
      </c>
    </row>
    <row r="638" spans="1:10">
      <c r="A638" s="182">
        <v>626</v>
      </c>
      <c r="B638" s="176" t="s">
        <v>15</v>
      </c>
      <c r="C638" s="40" t="s">
        <v>495</v>
      </c>
      <c r="D638" s="40" t="s">
        <v>91</v>
      </c>
      <c r="E638" s="73">
        <v>8210084600</v>
      </c>
      <c r="F638" s="73">
        <v>120</v>
      </c>
      <c r="G638" s="29">
        <v>483782</v>
      </c>
      <c r="H638" s="29">
        <v>483782</v>
      </c>
      <c r="I638" s="115">
        <v>483782</v>
      </c>
      <c r="J638" s="115">
        <f t="shared" si="343"/>
        <v>100</v>
      </c>
    </row>
    <row r="639" spans="1:10" ht="33.75" customHeight="1">
      <c r="A639" s="182">
        <v>627</v>
      </c>
      <c r="B639" s="49" t="s">
        <v>236</v>
      </c>
      <c r="C639" s="46">
        <v>957</v>
      </c>
      <c r="D639" s="43"/>
      <c r="E639" s="43"/>
      <c r="F639" s="43"/>
      <c r="G639" s="44">
        <f t="shared" ref="G639:I640" si="369">G640</f>
        <v>5457787.9300000006</v>
      </c>
      <c r="H639" s="44">
        <f t="shared" si="369"/>
        <v>5457787.9300000006</v>
      </c>
      <c r="I639" s="44">
        <f t="shared" si="369"/>
        <v>5335960.12</v>
      </c>
      <c r="J639" s="190">
        <f t="shared" si="343"/>
        <v>97.767817079693657</v>
      </c>
    </row>
    <row r="640" spans="1:10">
      <c r="A640" s="182">
        <v>628</v>
      </c>
      <c r="B640" s="64" t="s">
        <v>84</v>
      </c>
      <c r="C640" s="175">
        <v>957</v>
      </c>
      <c r="D640" s="175" t="s">
        <v>85</v>
      </c>
      <c r="E640" s="170"/>
      <c r="F640" s="170"/>
      <c r="G640" s="29">
        <f t="shared" si="369"/>
        <v>5457787.9300000006</v>
      </c>
      <c r="H640" s="29">
        <f t="shared" si="369"/>
        <v>5457787.9300000006</v>
      </c>
      <c r="I640" s="29">
        <f t="shared" si="369"/>
        <v>5335960.12</v>
      </c>
      <c r="J640" s="115">
        <f t="shared" si="343"/>
        <v>97.767817079693657</v>
      </c>
    </row>
    <row r="641" spans="1:10" ht="30">
      <c r="A641" s="182">
        <v>629</v>
      </c>
      <c r="B641" s="176" t="s">
        <v>88</v>
      </c>
      <c r="C641" s="175">
        <v>957</v>
      </c>
      <c r="D641" s="175" t="s">
        <v>89</v>
      </c>
      <c r="E641" s="170"/>
      <c r="F641" s="170"/>
      <c r="G641" s="29">
        <f t="shared" ref="G641:I642" si="370">G642</f>
        <v>5457787.9300000006</v>
      </c>
      <c r="H641" s="29">
        <f t="shared" si="370"/>
        <v>5457787.9300000006</v>
      </c>
      <c r="I641" s="29">
        <f t="shared" si="370"/>
        <v>5335960.12</v>
      </c>
      <c r="J641" s="115">
        <f t="shared" si="343"/>
        <v>97.767817079693657</v>
      </c>
    </row>
    <row r="642" spans="1:10">
      <c r="A642" s="182">
        <v>630</v>
      </c>
      <c r="B642" s="176" t="s">
        <v>319</v>
      </c>
      <c r="C642" s="175">
        <v>957</v>
      </c>
      <c r="D642" s="175" t="s">
        <v>89</v>
      </c>
      <c r="E642" s="170">
        <v>8100000000</v>
      </c>
      <c r="F642" s="170"/>
      <c r="G642" s="29">
        <f t="shared" si="370"/>
        <v>5457787.9300000006</v>
      </c>
      <c r="H642" s="29">
        <f t="shared" si="370"/>
        <v>5457787.9300000006</v>
      </c>
      <c r="I642" s="29">
        <f t="shared" si="370"/>
        <v>5335960.12</v>
      </c>
      <c r="J642" s="115">
        <f t="shared" si="343"/>
        <v>97.767817079693657</v>
      </c>
    </row>
    <row r="643" spans="1:10">
      <c r="A643" s="182">
        <v>631</v>
      </c>
      <c r="B643" s="177" t="s">
        <v>277</v>
      </c>
      <c r="C643" s="175">
        <v>957</v>
      </c>
      <c r="D643" s="175" t="s">
        <v>89</v>
      </c>
      <c r="E643" s="170">
        <v>8110000000</v>
      </c>
      <c r="F643" s="170"/>
      <c r="G643" s="29">
        <f t="shared" ref="G643:H643" si="371">G644+G654+G657+G651</f>
        <v>5457787.9300000006</v>
      </c>
      <c r="H643" s="29">
        <f t="shared" si="371"/>
        <v>5457787.9300000006</v>
      </c>
      <c r="I643" s="29">
        <f t="shared" ref="I643" si="372">I644+I654+I657+I651</f>
        <v>5335960.12</v>
      </c>
      <c r="J643" s="115">
        <f t="shared" si="343"/>
        <v>97.767817079693657</v>
      </c>
    </row>
    <row r="644" spans="1:10" ht="45">
      <c r="A644" s="182">
        <v>632</v>
      </c>
      <c r="B644" s="171" t="s">
        <v>322</v>
      </c>
      <c r="C644" s="175">
        <v>957</v>
      </c>
      <c r="D644" s="175" t="s">
        <v>89</v>
      </c>
      <c r="E644" s="170">
        <v>8110000210</v>
      </c>
      <c r="F644" s="170"/>
      <c r="G644" s="29">
        <f>G645+G647+G649</f>
        <v>2562392.3099999996</v>
      </c>
      <c r="H644" s="29">
        <f t="shared" ref="H644" si="373">H645+H647+H649</f>
        <v>2562392.31</v>
      </c>
      <c r="I644" s="29">
        <f t="shared" ref="I644" si="374">I645+I647+I649</f>
        <v>2456681.79</v>
      </c>
      <c r="J644" s="115">
        <f t="shared" si="343"/>
        <v>95.874538040585989</v>
      </c>
    </row>
    <row r="645" spans="1:10" ht="45">
      <c r="A645" s="182">
        <v>633</v>
      </c>
      <c r="B645" s="176" t="s">
        <v>14</v>
      </c>
      <c r="C645" s="175">
        <v>957</v>
      </c>
      <c r="D645" s="175" t="s">
        <v>89</v>
      </c>
      <c r="E645" s="170">
        <v>8110000210</v>
      </c>
      <c r="F645" s="170">
        <v>100</v>
      </c>
      <c r="G645" s="29">
        <f t="shared" ref="G645:I645" si="375">G646</f>
        <v>2300980.3099999996</v>
      </c>
      <c r="H645" s="29">
        <f t="shared" si="375"/>
        <v>2300980.31</v>
      </c>
      <c r="I645" s="29">
        <f t="shared" si="375"/>
        <v>2230678.15</v>
      </c>
      <c r="J645" s="115">
        <f t="shared" si="343"/>
        <v>96.944686588821781</v>
      </c>
    </row>
    <row r="646" spans="1:10">
      <c r="A646" s="182">
        <v>634</v>
      </c>
      <c r="B646" s="176" t="s">
        <v>15</v>
      </c>
      <c r="C646" s="175">
        <v>957</v>
      </c>
      <c r="D646" s="175" t="s">
        <v>89</v>
      </c>
      <c r="E646" s="170">
        <v>8110000210</v>
      </c>
      <c r="F646" s="170">
        <v>120</v>
      </c>
      <c r="G646" s="29">
        <f>2246826.61+66990.61+47163.09-60000</f>
        <v>2300980.3099999996</v>
      </c>
      <c r="H646" s="29">
        <v>2300980.31</v>
      </c>
      <c r="I646" s="29">
        <v>2230678.15</v>
      </c>
      <c r="J646" s="115">
        <f t="shared" si="343"/>
        <v>96.944686588821781</v>
      </c>
    </row>
    <row r="647" spans="1:10">
      <c r="A647" s="182">
        <v>635</v>
      </c>
      <c r="B647" s="176" t="s">
        <v>19</v>
      </c>
      <c r="C647" s="175">
        <v>957</v>
      </c>
      <c r="D647" s="175" t="s">
        <v>89</v>
      </c>
      <c r="E647" s="170">
        <v>8110000210</v>
      </c>
      <c r="F647" s="170">
        <v>200</v>
      </c>
      <c r="G647" s="29">
        <f t="shared" ref="G647:I647" si="376">G648</f>
        <v>260912</v>
      </c>
      <c r="H647" s="29">
        <f t="shared" si="376"/>
        <v>260912</v>
      </c>
      <c r="I647" s="29">
        <f t="shared" si="376"/>
        <v>226003.64</v>
      </c>
      <c r="J647" s="115">
        <f t="shared" si="343"/>
        <v>86.620638376157487</v>
      </c>
    </row>
    <row r="648" spans="1:10">
      <c r="A648" s="182">
        <v>636</v>
      </c>
      <c r="B648" s="176" t="s">
        <v>20</v>
      </c>
      <c r="C648" s="175">
        <v>957</v>
      </c>
      <c r="D648" s="175" t="s">
        <v>89</v>
      </c>
      <c r="E648" s="170">
        <v>8110000210</v>
      </c>
      <c r="F648" s="170">
        <v>240</v>
      </c>
      <c r="G648" s="29">
        <f>610912-350000</f>
        <v>260912</v>
      </c>
      <c r="H648" s="29">
        <v>260912</v>
      </c>
      <c r="I648" s="115">
        <v>226003.64</v>
      </c>
      <c r="J648" s="115">
        <f t="shared" si="343"/>
        <v>86.620638376157487</v>
      </c>
    </row>
    <row r="649" spans="1:10">
      <c r="A649" s="182">
        <v>637</v>
      </c>
      <c r="B649" s="176" t="s">
        <v>31</v>
      </c>
      <c r="C649" s="175">
        <v>957</v>
      </c>
      <c r="D649" s="175" t="s">
        <v>89</v>
      </c>
      <c r="E649" s="170">
        <v>8110000210</v>
      </c>
      <c r="F649" s="170">
        <v>800</v>
      </c>
      <c r="G649" s="29">
        <f t="shared" ref="G649" si="377">G650</f>
        <v>500</v>
      </c>
      <c r="H649" s="29">
        <f t="shared" ref="H649:I649" si="378">H650</f>
        <v>500</v>
      </c>
      <c r="I649" s="29">
        <f t="shared" si="378"/>
        <v>0</v>
      </c>
      <c r="J649" s="115">
        <f t="shared" si="343"/>
        <v>0</v>
      </c>
    </row>
    <row r="650" spans="1:10">
      <c r="A650" s="182">
        <v>638</v>
      </c>
      <c r="B650" s="176" t="s">
        <v>79</v>
      </c>
      <c r="C650" s="175">
        <v>957</v>
      </c>
      <c r="D650" s="175" t="s">
        <v>89</v>
      </c>
      <c r="E650" s="170">
        <v>8110000210</v>
      </c>
      <c r="F650" s="170">
        <v>850</v>
      </c>
      <c r="G650" s="29">
        <v>500</v>
      </c>
      <c r="H650" s="29">
        <v>500</v>
      </c>
      <c r="I650" s="29">
        <v>0</v>
      </c>
      <c r="J650" s="115">
        <f t="shared" si="343"/>
        <v>0</v>
      </c>
    </row>
    <row r="651" spans="1:10" ht="45">
      <c r="A651" s="182">
        <v>639</v>
      </c>
      <c r="B651" s="171" t="s">
        <v>323</v>
      </c>
      <c r="C651" s="175" t="s">
        <v>321</v>
      </c>
      <c r="D651" s="175" t="s">
        <v>89</v>
      </c>
      <c r="E651" s="170">
        <v>8110000220</v>
      </c>
      <c r="F651" s="170"/>
      <c r="G651" s="29">
        <f t="shared" ref="G651:I651" si="379">G652</f>
        <v>563217.45000000007</v>
      </c>
      <c r="H651" s="29">
        <f t="shared" si="379"/>
        <v>563217.44999999995</v>
      </c>
      <c r="I651" s="29">
        <f t="shared" si="379"/>
        <v>559456.21</v>
      </c>
      <c r="J651" s="115">
        <f t="shared" si="343"/>
        <v>99.332186884479526</v>
      </c>
    </row>
    <row r="652" spans="1:10" ht="45">
      <c r="A652" s="182">
        <v>640</v>
      </c>
      <c r="B652" s="176" t="s">
        <v>14</v>
      </c>
      <c r="C652" s="175" t="s">
        <v>321</v>
      </c>
      <c r="D652" s="175" t="s">
        <v>89</v>
      </c>
      <c r="E652" s="170">
        <v>8110000220</v>
      </c>
      <c r="F652" s="170">
        <v>100</v>
      </c>
      <c r="G652" s="29">
        <f t="shared" ref="G652:I652" si="380">G653</f>
        <v>563217.45000000007</v>
      </c>
      <c r="H652" s="29">
        <f t="shared" si="380"/>
        <v>563217.44999999995</v>
      </c>
      <c r="I652" s="29">
        <f t="shared" si="380"/>
        <v>559456.21</v>
      </c>
      <c r="J652" s="115">
        <f t="shared" si="343"/>
        <v>99.332186884479526</v>
      </c>
    </row>
    <row r="653" spans="1:10">
      <c r="A653" s="182">
        <v>641</v>
      </c>
      <c r="B653" s="176" t="s">
        <v>15</v>
      </c>
      <c r="C653" s="175" t="s">
        <v>321</v>
      </c>
      <c r="D653" s="175" t="s">
        <v>89</v>
      </c>
      <c r="E653" s="170">
        <v>8110000220</v>
      </c>
      <c r="F653" s="170">
        <v>120</v>
      </c>
      <c r="G653" s="29">
        <f>536169+16889.3+10159.15</f>
        <v>563217.45000000007</v>
      </c>
      <c r="H653" s="29">
        <v>563217.44999999995</v>
      </c>
      <c r="I653" s="115">
        <v>559456.21</v>
      </c>
      <c r="J653" s="115">
        <f t="shared" si="343"/>
        <v>99.332186884479526</v>
      </c>
    </row>
    <row r="654" spans="1:10" ht="46.5" customHeight="1">
      <c r="A654" s="182">
        <v>642</v>
      </c>
      <c r="B654" s="177" t="s">
        <v>396</v>
      </c>
      <c r="C654" s="175">
        <v>957</v>
      </c>
      <c r="D654" s="175" t="s">
        <v>89</v>
      </c>
      <c r="E654" s="170">
        <v>8110000230</v>
      </c>
      <c r="F654" s="170"/>
      <c r="G654" s="29">
        <f t="shared" ref="G654:I654" si="381">G655</f>
        <v>2200178.1700000004</v>
      </c>
      <c r="H654" s="29">
        <f t="shared" si="381"/>
        <v>2200178.17</v>
      </c>
      <c r="I654" s="29">
        <f t="shared" si="381"/>
        <v>2187822.12</v>
      </c>
      <c r="J654" s="115">
        <f t="shared" si="343"/>
        <v>99.438406845023835</v>
      </c>
    </row>
    <row r="655" spans="1:10" ht="45">
      <c r="A655" s="182">
        <v>643</v>
      </c>
      <c r="B655" s="176" t="s">
        <v>14</v>
      </c>
      <c r="C655" s="175">
        <v>957</v>
      </c>
      <c r="D655" s="175" t="s">
        <v>89</v>
      </c>
      <c r="E655" s="170">
        <v>8110000230</v>
      </c>
      <c r="F655" s="170">
        <v>100</v>
      </c>
      <c r="G655" s="29">
        <f t="shared" ref="G655:I655" si="382">G656</f>
        <v>2200178.1700000004</v>
      </c>
      <c r="H655" s="29">
        <f t="shared" si="382"/>
        <v>2200178.17</v>
      </c>
      <c r="I655" s="29">
        <f t="shared" si="382"/>
        <v>2187822.12</v>
      </c>
      <c r="J655" s="115">
        <f t="shared" ref="J655:J660" si="383">I655/H655*100</f>
        <v>99.438406845023835</v>
      </c>
    </row>
    <row r="656" spans="1:10">
      <c r="A656" s="182">
        <v>644</v>
      </c>
      <c r="B656" s="176" t="s">
        <v>15</v>
      </c>
      <c r="C656" s="175">
        <v>957</v>
      </c>
      <c r="D656" s="175" t="s">
        <v>89</v>
      </c>
      <c r="E656" s="170">
        <v>8110000230</v>
      </c>
      <c r="F656" s="170">
        <v>120</v>
      </c>
      <c r="G656" s="29">
        <f>2124961+66944.47+8272.7</f>
        <v>2200178.1700000004</v>
      </c>
      <c r="H656" s="29">
        <v>2200178.17</v>
      </c>
      <c r="I656" s="115">
        <v>2187822.12</v>
      </c>
      <c r="J656" s="115">
        <f t="shared" si="383"/>
        <v>99.438406845023835</v>
      </c>
    </row>
    <row r="657" spans="1:10">
      <c r="A657" s="182">
        <v>645</v>
      </c>
      <c r="B657" s="171" t="s">
        <v>320</v>
      </c>
      <c r="C657" s="40">
        <v>957</v>
      </c>
      <c r="D657" s="175" t="s">
        <v>89</v>
      </c>
      <c r="E657" s="73">
        <v>8110000240</v>
      </c>
      <c r="F657" s="73"/>
      <c r="G657" s="29">
        <f>G658</f>
        <v>132000.00000000035</v>
      </c>
      <c r="H657" s="29">
        <f t="shared" ref="H657:I657" si="384">H658</f>
        <v>132000</v>
      </c>
      <c r="I657" s="29">
        <f t="shared" si="384"/>
        <v>132000</v>
      </c>
      <c r="J657" s="115">
        <f t="shared" si="383"/>
        <v>100</v>
      </c>
    </row>
    <row r="658" spans="1:10" ht="45">
      <c r="A658" s="182">
        <v>646</v>
      </c>
      <c r="B658" s="176" t="s">
        <v>14</v>
      </c>
      <c r="C658" s="40">
        <v>957</v>
      </c>
      <c r="D658" s="175" t="s">
        <v>89</v>
      </c>
      <c r="E658" s="73">
        <v>8110000240</v>
      </c>
      <c r="F658" s="73">
        <v>100</v>
      </c>
      <c r="G658" s="29">
        <f t="shared" ref="G658:I658" si="385">G659</f>
        <v>132000.00000000035</v>
      </c>
      <c r="H658" s="29">
        <f t="shared" si="385"/>
        <v>132000</v>
      </c>
      <c r="I658" s="29">
        <f t="shared" si="385"/>
        <v>132000</v>
      </c>
      <c r="J658" s="115">
        <f t="shared" si="383"/>
        <v>100</v>
      </c>
    </row>
    <row r="659" spans="1:10">
      <c r="A659" s="182">
        <v>647</v>
      </c>
      <c r="B659" s="176" t="s">
        <v>15</v>
      </c>
      <c r="C659" s="40">
        <v>957</v>
      </c>
      <c r="D659" s="175" t="s">
        <v>89</v>
      </c>
      <c r="E659" s="73">
        <v>8110000240</v>
      </c>
      <c r="F659" s="73">
        <v>120</v>
      </c>
      <c r="G659" s="29">
        <f>2164496.45+60231.46-986363.59-100000-986364.32-20000</f>
        <v>132000.00000000035</v>
      </c>
      <c r="H659" s="29">
        <v>132000</v>
      </c>
      <c r="I659" s="115">
        <v>132000</v>
      </c>
      <c r="J659" s="115">
        <f t="shared" si="383"/>
        <v>100</v>
      </c>
    </row>
    <row r="660" spans="1:10">
      <c r="A660" s="182">
        <v>648</v>
      </c>
      <c r="B660" s="36" t="s">
        <v>81</v>
      </c>
      <c r="C660" s="37"/>
      <c r="D660" s="37"/>
      <c r="E660" s="37"/>
      <c r="F660" s="37"/>
      <c r="G660" s="38">
        <f>G13+G118+G332+G347+G364+G381+G401+G523+G621+G639</f>
        <v>1394473533.46</v>
      </c>
      <c r="H660" s="38">
        <f>H13+H118+H332+H347+H364+H381+H401+H523+H621+H639</f>
        <v>1395419133.46</v>
      </c>
      <c r="I660" s="38">
        <f>I13+I118+I332+I347+I364+I381+I401+I523+I621+I639</f>
        <v>1357626502.3399999</v>
      </c>
      <c r="J660" s="115">
        <f t="shared" si="383"/>
        <v>97.29166454624341</v>
      </c>
    </row>
    <row r="661" spans="1:10">
      <c r="C661" s="39"/>
      <c r="D661" s="39"/>
      <c r="E661" s="39"/>
      <c r="G661" s="166"/>
      <c r="H661" s="167"/>
      <c r="I661" s="168"/>
    </row>
    <row r="662" spans="1:10">
      <c r="F662" s="133"/>
      <c r="G662" s="136">
        <v>1394473533.46</v>
      </c>
      <c r="H662" s="136">
        <v>1395419133.46</v>
      </c>
      <c r="I662" s="136">
        <v>1357626502.3399999</v>
      </c>
    </row>
    <row r="663" spans="1:10">
      <c r="F663" s="133"/>
      <c r="G663" s="135">
        <f>G660-G662</f>
        <v>0</v>
      </c>
      <c r="H663" s="135">
        <f>H660-H662</f>
        <v>0</v>
      </c>
      <c r="I663" s="135">
        <f>I660-I662</f>
        <v>0</v>
      </c>
    </row>
    <row r="664" spans="1:10">
      <c r="F664" s="133"/>
      <c r="G664" s="136"/>
      <c r="H664" s="136"/>
      <c r="I664" s="136"/>
    </row>
    <row r="665" spans="1:10">
      <c r="F665" s="133"/>
      <c r="G665" s="136"/>
      <c r="H665" s="136"/>
      <c r="I665" s="116"/>
      <c r="J665" s="179"/>
    </row>
    <row r="666" spans="1:10">
      <c r="F666" s="133"/>
      <c r="G666" s="136"/>
      <c r="H666" s="136"/>
      <c r="I666" s="136"/>
    </row>
    <row r="667" spans="1:10">
      <c r="F667" s="133"/>
      <c r="G667" s="136"/>
      <c r="H667" s="134"/>
    </row>
    <row r="668" spans="1:10">
      <c r="F668" s="133"/>
      <c r="G668" s="136"/>
      <c r="H668" s="134"/>
    </row>
    <row r="669" spans="1:10">
      <c r="F669" s="133"/>
      <c r="G669" s="134"/>
      <c r="H669" s="135"/>
      <c r="I669" s="135"/>
    </row>
    <row r="670" spans="1:10">
      <c r="F670" s="133"/>
      <c r="G670" s="134"/>
      <c r="H670" s="134"/>
    </row>
    <row r="671" spans="1:10">
      <c r="F671" s="133"/>
      <c r="G671" s="134"/>
      <c r="H671" s="134"/>
    </row>
    <row r="672" spans="1:10">
      <c r="F672" s="169"/>
      <c r="G672" s="169"/>
      <c r="H672" s="169"/>
      <c r="I672" s="131"/>
    </row>
    <row r="673" spans="6:18">
      <c r="F673" s="133"/>
      <c r="G673" s="134"/>
      <c r="H673" s="134"/>
    </row>
    <row r="674" spans="6:18">
      <c r="F674" s="133"/>
      <c r="G674" s="136"/>
      <c r="H674" s="134"/>
    </row>
    <row r="675" spans="6:18">
      <c r="F675" s="133"/>
      <c r="G675" s="134"/>
      <c r="H675" s="134"/>
      <c r="M675" s="131"/>
    </row>
    <row r="676" spans="6:18">
      <c r="F676" s="133"/>
      <c r="G676" s="136"/>
      <c r="H676" s="134"/>
    </row>
    <row r="677" spans="6:18">
      <c r="F677" s="133"/>
      <c r="G677" s="134"/>
      <c r="H677" s="134"/>
      <c r="M677" s="131"/>
    </row>
    <row r="678" spans="6:18">
      <c r="F678" s="133"/>
      <c r="G678" s="134"/>
      <c r="H678" s="134"/>
    </row>
    <row r="679" spans="6:18">
      <c r="F679" s="133"/>
      <c r="G679" s="134"/>
      <c r="H679" s="134"/>
    </row>
    <row r="680" spans="6:18">
      <c r="F680" s="133"/>
      <c r="G680" s="134"/>
      <c r="H680" s="134"/>
    </row>
    <row r="681" spans="6:18">
      <c r="F681" s="133"/>
      <c r="G681" s="134"/>
      <c r="H681" s="134"/>
    </row>
    <row r="682" spans="6:18">
      <c r="F682" s="133"/>
      <c r="G682" s="134"/>
      <c r="H682" s="134"/>
    </row>
    <row r="683" spans="6:18">
      <c r="F683" s="133"/>
      <c r="G683" s="134"/>
      <c r="H683" s="134"/>
      <c r="M683" s="131"/>
    </row>
    <row r="684" spans="6:18">
      <c r="F684" s="133"/>
      <c r="G684" s="134"/>
      <c r="H684" s="134"/>
    </row>
    <row r="685" spans="6:18">
      <c r="F685" s="133"/>
      <c r="G685" s="134"/>
      <c r="H685" s="134"/>
      <c r="M685" s="131"/>
    </row>
    <row r="686" spans="6:18">
      <c r="F686" s="133"/>
      <c r="G686" s="134"/>
      <c r="H686" s="134"/>
    </row>
    <row r="687" spans="6:18">
      <c r="F687" s="133"/>
      <c r="G687" s="134"/>
      <c r="H687" s="134"/>
      <c r="M687" s="131"/>
      <c r="R687" s="129"/>
    </row>
    <row r="688" spans="6:18">
      <c r="F688" s="133"/>
      <c r="G688" s="134"/>
      <c r="H688" s="134"/>
    </row>
    <row r="689" spans="6:13">
      <c r="F689" s="133"/>
      <c r="G689" s="134"/>
      <c r="H689" s="134"/>
      <c r="M689" s="131"/>
    </row>
    <row r="690" spans="6:13">
      <c r="F690" s="133"/>
      <c r="G690" s="134"/>
      <c r="H690" s="134"/>
    </row>
    <row r="691" spans="6:13">
      <c r="F691" s="133"/>
      <c r="G691" s="134"/>
      <c r="H691" s="134"/>
      <c r="M691" s="131"/>
    </row>
    <row r="692" spans="6:13">
      <c r="F692" s="133"/>
      <c r="G692" s="134"/>
      <c r="H692" s="134"/>
    </row>
    <row r="693" spans="6:13">
      <c r="F693" s="133"/>
      <c r="G693" s="134"/>
      <c r="H693" s="134"/>
    </row>
    <row r="694" spans="6:13">
      <c r="F694" s="133"/>
      <c r="G694" s="134"/>
      <c r="H694" s="134"/>
    </row>
    <row r="695" spans="6:13">
      <c r="F695" s="133"/>
      <c r="G695" s="134"/>
      <c r="H695" s="134"/>
      <c r="M695" s="131"/>
    </row>
    <row r="696" spans="6:13">
      <c r="F696" s="133"/>
      <c r="G696" s="134"/>
      <c r="H696" s="134"/>
    </row>
    <row r="697" spans="6:13">
      <c r="F697" s="133"/>
      <c r="G697" s="134"/>
      <c r="H697" s="134"/>
    </row>
    <row r="698" spans="6:13">
      <c r="F698" s="133"/>
      <c r="G698" s="134"/>
      <c r="H698" s="134"/>
    </row>
    <row r="699" spans="6:13">
      <c r="F699" s="133"/>
      <c r="G699" s="134"/>
      <c r="H699" s="134"/>
    </row>
  </sheetData>
  <mergeCells count="2">
    <mergeCell ref="A7:I7"/>
    <mergeCell ref="A8:I8"/>
  </mergeCells>
  <printOptions horizontalCentered="1"/>
  <pageMargins left="0.15748031496062992" right="0.23622047244094491" top="0.43307086614173229" bottom="0.3937007874015748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48"/>
  <sheetViews>
    <sheetView tabSelected="1" view="pageBreakPreview" topLeftCell="A226" zoomScale="95" zoomScaleNormal="100" zoomScaleSheetLayoutView="95" workbookViewId="0">
      <selection activeCell="E145" sqref="E145"/>
    </sheetView>
  </sheetViews>
  <sheetFormatPr defaultColWidth="9.140625" defaultRowHeight="15"/>
  <cols>
    <col min="1" max="1" width="5.85546875" style="113" customWidth="1"/>
    <col min="2" max="2" width="72.42578125" style="160" customWidth="1"/>
    <col min="3" max="3" width="15.140625" style="133" customWidth="1"/>
    <col min="4" max="4" width="9.140625" style="133" customWidth="1"/>
    <col min="5" max="5" width="12.28515625" style="133" customWidth="1"/>
    <col min="6" max="6" width="21.28515625" style="133" customWidth="1"/>
    <col min="7" max="7" width="21.140625" style="133" customWidth="1"/>
    <col min="8" max="8" width="21.140625" style="59" customWidth="1"/>
    <col min="9" max="9" width="15.42578125" style="59" customWidth="1"/>
    <col min="10" max="16384" width="9.140625" style="59"/>
  </cols>
  <sheetData>
    <row r="1" spans="1:9">
      <c r="G1" s="161" t="s">
        <v>149</v>
      </c>
      <c r="H1" s="133"/>
    </row>
    <row r="2" spans="1:9">
      <c r="G2" s="162" t="s">
        <v>150</v>
      </c>
      <c r="H2" s="133"/>
    </row>
    <row r="3" spans="1:9">
      <c r="G3" s="162" t="s">
        <v>244</v>
      </c>
      <c r="H3" s="133"/>
    </row>
    <row r="4" spans="1:9">
      <c r="G4" s="162" t="s">
        <v>426</v>
      </c>
      <c r="H4" s="133"/>
    </row>
    <row r="6" spans="1:9">
      <c r="E6" s="162"/>
    </row>
    <row r="7" spans="1:9" ht="42.75" customHeight="1">
      <c r="A7" s="253" t="s">
        <v>564</v>
      </c>
      <c r="B7" s="253"/>
      <c r="C7" s="253"/>
      <c r="D7" s="253"/>
      <c r="E7" s="253"/>
      <c r="F7" s="253"/>
      <c r="G7" s="253"/>
      <c r="H7" s="253"/>
    </row>
    <row r="8" spans="1:9">
      <c r="A8" s="22"/>
      <c r="B8" s="23"/>
      <c r="C8" s="24"/>
      <c r="D8" s="24"/>
      <c r="E8" s="24"/>
      <c r="I8" s="163" t="s">
        <v>546</v>
      </c>
    </row>
    <row r="9" spans="1:9" ht="60.75" customHeight="1">
      <c r="A9" s="25" t="s">
        <v>0</v>
      </c>
      <c r="B9" s="25" t="s">
        <v>1</v>
      </c>
      <c r="C9" s="26" t="s">
        <v>4</v>
      </c>
      <c r="D9" s="26" t="s">
        <v>5</v>
      </c>
      <c r="E9" s="26" t="s">
        <v>82</v>
      </c>
      <c r="F9" s="1" t="s">
        <v>555</v>
      </c>
      <c r="G9" s="1" t="s">
        <v>556</v>
      </c>
      <c r="H9" s="1" t="s">
        <v>557</v>
      </c>
      <c r="I9" s="191" t="s">
        <v>558</v>
      </c>
    </row>
    <row r="10" spans="1:9">
      <c r="A10" s="27"/>
      <c r="B10" s="26" t="s">
        <v>6</v>
      </c>
      <c r="C10" s="26" t="s">
        <v>7</v>
      </c>
      <c r="D10" s="26" t="s">
        <v>8</v>
      </c>
      <c r="E10" s="26" t="s">
        <v>9</v>
      </c>
      <c r="F10" s="138">
        <v>6</v>
      </c>
      <c r="G10" s="138">
        <v>7</v>
      </c>
      <c r="H10" s="192">
        <v>8</v>
      </c>
      <c r="I10" s="192">
        <v>9</v>
      </c>
    </row>
    <row r="11" spans="1:9" ht="42.75">
      <c r="A11" s="138">
        <v>1</v>
      </c>
      <c r="B11" s="75" t="s">
        <v>245</v>
      </c>
      <c r="C11" s="54" t="s">
        <v>358</v>
      </c>
      <c r="D11" s="138"/>
      <c r="E11" s="146"/>
      <c r="F11" s="56">
        <f>F12+F15</f>
        <v>147500</v>
      </c>
      <c r="G11" s="56">
        <f>G12+G15</f>
        <v>147500</v>
      </c>
      <c r="H11" s="56">
        <f>H12+H15</f>
        <v>146660</v>
      </c>
      <c r="I11" s="194">
        <f>H11/G11*100</f>
        <v>99.430508474576271</v>
      </c>
    </row>
    <row r="12" spans="1:9" ht="30">
      <c r="A12" s="138">
        <v>2</v>
      </c>
      <c r="B12" s="76" t="s">
        <v>312</v>
      </c>
      <c r="C12" s="152" t="s">
        <v>352</v>
      </c>
      <c r="D12" s="141"/>
      <c r="E12" s="152"/>
      <c r="F12" s="41">
        <f>F13+F14</f>
        <v>99500</v>
      </c>
      <c r="G12" s="41">
        <f t="shared" ref="G12:H12" si="0">G13+G14</f>
        <v>99500</v>
      </c>
      <c r="H12" s="41">
        <f t="shared" si="0"/>
        <v>99500</v>
      </c>
      <c r="I12" s="194">
        <f t="shared" ref="I12:I75" si="1">H12/G12*100</f>
        <v>100</v>
      </c>
    </row>
    <row r="13" spans="1:9" ht="75">
      <c r="A13" s="138">
        <v>3</v>
      </c>
      <c r="B13" s="143" t="s">
        <v>356</v>
      </c>
      <c r="C13" s="121" t="str">
        <f>'приложение 4'!E614</f>
        <v>0110080070</v>
      </c>
      <c r="D13" s="140">
        <v>610</v>
      </c>
      <c r="E13" s="121" t="s">
        <v>250</v>
      </c>
      <c r="F13" s="55">
        <f>'приложение 4'!G616</f>
        <v>50000</v>
      </c>
      <c r="G13" s="55">
        <f>'приложение 4'!H616</f>
        <v>50000</v>
      </c>
      <c r="H13" s="55">
        <f>'приложение 4'!I616</f>
        <v>50000</v>
      </c>
      <c r="I13" s="193">
        <f t="shared" si="1"/>
        <v>100</v>
      </c>
    </row>
    <row r="14" spans="1:9" ht="63" customHeight="1">
      <c r="A14" s="138">
        <v>4</v>
      </c>
      <c r="B14" s="143" t="s">
        <v>505</v>
      </c>
      <c r="C14" s="121" t="s">
        <v>504</v>
      </c>
      <c r="D14" s="140">
        <v>540</v>
      </c>
      <c r="E14" s="121" t="s">
        <v>503</v>
      </c>
      <c r="F14" s="55">
        <f>'приложение 4'!G83</f>
        <v>49500</v>
      </c>
      <c r="G14" s="55">
        <f>'приложение 4'!H83</f>
        <v>49500</v>
      </c>
      <c r="H14" s="55">
        <f>'приложение 4'!I83</f>
        <v>49500</v>
      </c>
      <c r="I14" s="193">
        <f t="shared" si="1"/>
        <v>100</v>
      </c>
    </row>
    <row r="15" spans="1:9" ht="47.25">
      <c r="A15" s="138">
        <v>5</v>
      </c>
      <c r="B15" s="77" t="s">
        <v>313</v>
      </c>
      <c r="C15" s="152" t="s">
        <v>354</v>
      </c>
      <c r="D15" s="141"/>
      <c r="E15" s="152"/>
      <c r="F15" s="41">
        <f t="shared" ref="F15:H15" si="2">F16</f>
        <v>48000</v>
      </c>
      <c r="G15" s="41">
        <f t="shared" si="2"/>
        <v>48000</v>
      </c>
      <c r="H15" s="41">
        <f t="shared" si="2"/>
        <v>47160</v>
      </c>
      <c r="I15" s="194">
        <f t="shared" si="1"/>
        <v>98.25</v>
      </c>
    </row>
    <row r="16" spans="1:9" ht="94.5">
      <c r="A16" s="138">
        <v>6</v>
      </c>
      <c r="B16" s="142" t="s">
        <v>357</v>
      </c>
      <c r="C16" s="146" t="s">
        <v>355</v>
      </c>
      <c r="D16" s="138">
        <v>610</v>
      </c>
      <c r="E16" s="146" t="s">
        <v>250</v>
      </c>
      <c r="F16" s="29">
        <f>'приложение 4'!G620</f>
        <v>48000</v>
      </c>
      <c r="G16" s="29">
        <f>'приложение 4'!H620</f>
        <v>48000</v>
      </c>
      <c r="H16" s="29">
        <f>'приложение 4'!I620</f>
        <v>47160</v>
      </c>
      <c r="I16" s="193">
        <f t="shared" si="1"/>
        <v>98.25</v>
      </c>
    </row>
    <row r="17" spans="1:9" ht="28.5">
      <c r="A17" s="138">
        <v>7</v>
      </c>
      <c r="B17" s="82" t="s">
        <v>216</v>
      </c>
      <c r="C17" s="53" t="str">
        <f>'приложение 4'!E350</f>
        <v>0200000000</v>
      </c>
      <c r="D17" s="53"/>
      <c r="E17" s="54"/>
      <c r="F17" s="56">
        <f>F18+F22+F28+F32+F44</f>
        <v>122885353.43000001</v>
      </c>
      <c r="G17" s="56">
        <f>G18+G22+G28+G32+G44</f>
        <v>125099353.43000001</v>
      </c>
      <c r="H17" s="56">
        <f>H18+H22+H28+H32+H44</f>
        <v>122948933.79000001</v>
      </c>
      <c r="I17" s="194">
        <f t="shared" si="1"/>
        <v>98.281030572069838</v>
      </c>
    </row>
    <row r="18" spans="1:9">
      <c r="A18" s="138">
        <v>8</v>
      </c>
      <c r="B18" s="154" t="s">
        <v>68</v>
      </c>
      <c r="C18" s="141" t="str">
        <f>'приложение 4'!E554</f>
        <v>0210000000</v>
      </c>
      <c r="D18" s="53"/>
      <c r="E18" s="54"/>
      <c r="F18" s="41">
        <f>F19+F20+F21</f>
        <v>28730035.390000001</v>
      </c>
      <c r="G18" s="41">
        <f t="shared" ref="G18:H18" si="3">G19+G20+G21</f>
        <v>29700895.390000001</v>
      </c>
      <c r="H18" s="41">
        <f t="shared" si="3"/>
        <v>28992259.899999999</v>
      </c>
      <c r="I18" s="194">
        <f t="shared" si="1"/>
        <v>97.614093849040685</v>
      </c>
    </row>
    <row r="19" spans="1:9" ht="45">
      <c r="A19" s="138">
        <v>9</v>
      </c>
      <c r="B19" s="70" t="s">
        <v>347</v>
      </c>
      <c r="C19" s="138" t="str">
        <f>'приложение 4'!E555</f>
        <v>0210000610</v>
      </c>
      <c r="D19" s="138">
        <v>610</v>
      </c>
      <c r="E19" s="146" t="s">
        <v>121</v>
      </c>
      <c r="F19" s="29">
        <f>'приложение 4'!G557</f>
        <v>24204080.770000003</v>
      </c>
      <c r="G19" s="29">
        <f>'приложение 4'!H557</f>
        <v>24204080.77</v>
      </c>
      <c r="H19" s="29">
        <f>'приложение 4'!I557</f>
        <v>23587559.199999999</v>
      </c>
      <c r="I19" s="193">
        <f t="shared" si="1"/>
        <v>97.452819729621154</v>
      </c>
    </row>
    <row r="20" spans="1:9" ht="45">
      <c r="A20" s="138">
        <v>10</v>
      </c>
      <c r="B20" s="70" t="s">
        <v>348</v>
      </c>
      <c r="C20" s="138" t="str">
        <f>'приложение 4'!E558</f>
        <v>0210000630</v>
      </c>
      <c r="D20" s="138">
        <v>610</v>
      </c>
      <c r="E20" s="146" t="s">
        <v>121</v>
      </c>
      <c r="F20" s="29">
        <f>'приложение 4'!G560</f>
        <v>4525954.6199999992</v>
      </c>
      <c r="G20" s="29">
        <f>'приложение 4'!H560</f>
        <v>4525954.62</v>
      </c>
      <c r="H20" s="29">
        <f>'приложение 4'!I560</f>
        <v>4433840.7</v>
      </c>
      <c r="I20" s="193">
        <f t="shared" si="1"/>
        <v>97.964762625039313</v>
      </c>
    </row>
    <row r="21" spans="1:9" ht="69.75" customHeight="1">
      <c r="A21" s="182">
        <v>11</v>
      </c>
      <c r="B21" s="70" t="str">
        <f>'приложение 4'!B561</f>
        <v>Иные межбюджетные трансферты на финансовое обеспечение расходов на увеличение размеролв оплаты труда работников муниципальных учреждений культуры, подведомственных муниципальным органам управления в области культуры</v>
      </c>
      <c r="C21" s="181" t="str">
        <f>'приложение 4'!E562</f>
        <v>0210010330</v>
      </c>
      <c r="D21" s="182">
        <v>610</v>
      </c>
      <c r="E21" s="181" t="s">
        <v>121</v>
      </c>
      <c r="F21" s="29">
        <f>'приложение 4'!G563</f>
        <v>0</v>
      </c>
      <c r="G21" s="29">
        <f>'приложение 4'!H563</f>
        <v>970860</v>
      </c>
      <c r="H21" s="29">
        <f>'приложение 4'!I563</f>
        <v>970860</v>
      </c>
      <c r="I21" s="193">
        <f t="shared" si="1"/>
        <v>100</v>
      </c>
    </row>
    <row r="22" spans="1:9">
      <c r="A22" s="138">
        <v>12</v>
      </c>
      <c r="B22" s="154" t="s">
        <v>60</v>
      </c>
      <c r="C22" s="152" t="s">
        <v>188</v>
      </c>
      <c r="D22" s="53"/>
      <c r="E22" s="54"/>
      <c r="F22" s="41">
        <f>F23+F24+F26+F27+F25</f>
        <v>3001069.32</v>
      </c>
      <c r="G22" s="41">
        <f t="shared" ref="G22" si="4">G23+G24+G26+G27+G25</f>
        <v>3001069.3200000003</v>
      </c>
      <c r="H22" s="41">
        <f t="shared" ref="H22" si="5">H23+H24+H26+H27+H25</f>
        <v>2992551.9999999995</v>
      </c>
      <c r="I22" s="193">
        <f t="shared" si="1"/>
        <v>99.716190494393487</v>
      </c>
    </row>
    <row r="23" spans="1:9">
      <c r="A23" s="206">
        <v>13</v>
      </c>
      <c r="B23" s="207" t="s">
        <v>61</v>
      </c>
      <c r="C23" s="206" t="str">
        <f>'приложение 4'!E353</f>
        <v>0220000610</v>
      </c>
      <c r="D23" s="138">
        <v>110</v>
      </c>
      <c r="E23" s="146" t="s">
        <v>93</v>
      </c>
      <c r="F23" s="29">
        <f>'приложение 4'!G354</f>
        <v>1903424.3199999998</v>
      </c>
      <c r="G23" s="29">
        <f>'приложение 4'!H354</f>
        <v>1903424.32</v>
      </c>
      <c r="H23" s="29">
        <f>'приложение 4'!I354</f>
        <v>1896498.58</v>
      </c>
      <c r="I23" s="193">
        <f t="shared" si="1"/>
        <v>99.636143138068135</v>
      </c>
    </row>
    <row r="24" spans="1:9">
      <c r="A24" s="206"/>
      <c r="B24" s="207"/>
      <c r="C24" s="206"/>
      <c r="D24" s="138">
        <v>240</v>
      </c>
      <c r="E24" s="146" t="s">
        <v>93</v>
      </c>
      <c r="F24" s="29">
        <f>'приложение 4'!G356</f>
        <v>756055</v>
      </c>
      <c r="G24" s="29">
        <f>'приложение 4'!H356</f>
        <v>756055</v>
      </c>
      <c r="H24" s="29">
        <f>'приложение 4'!I356</f>
        <v>755995.8</v>
      </c>
      <c r="I24" s="193">
        <f t="shared" si="1"/>
        <v>99.992169881820772</v>
      </c>
    </row>
    <row r="25" spans="1:9">
      <c r="A25" s="206"/>
      <c r="B25" s="207"/>
      <c r="C25" s="206"/>
      <c r="D25" s="138">
        <v>850</v>
      </c>
      <c r="E25" s="146" t="s">
        <v>93</v>
      </c>
      <c r="F25" s="29">
        <f>'приложение 4'!G358</f>
        <v>1000</v>
      </c>
      <c r="G25" s="29">
        <f>'приложение 4'!H358</f>
        <v>1000</v>
      </c>
      <c r="H25" s="29">
        <f>'приложение 4'!I358</f>
        <v>0</v>
      </c>
      <c r="I25" s="193">
        <f t="shared" si="1"/>
        <v>0</v>
      </c>
    </row>
    <row r="26" spans="1:9">
      <c r="A26" s="206">
        <v>14</v>
      </c>
      <c r="B26" s="243" t="s">
        <v>63</v>
      </c>
      <c r="C26" s="206" t="str">
        <f>'приложение 4'!E359</f>
        <v>0220075190</v>
      </c>
      <c r="D26" s="138">
        <v>110</v>
      </c>
      <c r="E26" s="146" t="s">
        <v>93</v>
      </c>
      <c r="F26" s="29">
        <f>'приложение 4'!G361</f>
        <v>288604.7</v>
      </c>
      <c r="G26" s="29">
        <f>'приложение 4'!H361</f>
        <v>288604.7</v>
      </c>
      <c r="H26" s="29">
        <f>'приложение 4'!I361</f>
        <v>288072.32000000001</v>
      </c>
      <c r="I26" s="193">
        <f t="shared" si="1"/>
        <v>99.815533149668028</v>
      </c>
    </row>
    <row r="27" spans="1:9">
      <c r="A27" s="206"/>
      <c r="B27" s="243"/>
      <c r="C27" s="206"/>
      <c r="D27" s="138">
        <v>240</v>
      </c>
      <c r="E27" s="146" t="s">
        <v>93</v>
      </c>
      <c r="F27" s="29">
        <f>'приложение 4'!G363</f>
        <v>51985.3</v>
      </c>
      <c r="G27" s="29">
        <f>'приложение 4'!H363</f>
        <v>51985.3</v>
      </c>
      <c r="H27" s="29">
        <f>'приложение 4'!I363</f>
        <v>51985.3</v>
      </c>
      <c r="I27" s="193">
        <f t="shared" si="1"/>
        <v>100</v>
      </c>
    </row>
    <row r="28" spans="1:9">
      <c r="A28" s="138">
        <v>15</v>
      </c>
      <c r="B28" s="78" t="s">
        <v>69</v>
      </c>
      <c r="C28" s="152" t="s">
        <v>213</v>
      </c>
      <c r="D28" s="53"/>
      <c r="E28" s="54"/>
      <c r="F28" s="41">
        <f>F29+F30+F31</f>
        <v>45512057.280000001</v>
      </c>
      <c r="G28" s="41">
        <f t="shared" ref="G28:H28" si="6">G29+G30+G31</f>
        <v>46758197.280000001</v>
      </c>
      <c r="H28" s="41">
        <f t="shared" si="6"/>
        <v>45506541.219999999</v>
      </c>
      <c r="I28" s="194">
        <f t="shared" si="1"/>
        <v>97.323130204304562</v>
      </c>
    </row>
    <row r="29" spans="1:9" ht="45">
      <c r="A29" s="138">
        <v>16</v>
      </c>
      <c r="B29" s="70" t="s">
        <v>349</v>
      </c>
      <c r="C29" s="138" t="str">
        <f>'приложение 4'!E565</f>
        <v>0230000650</v>
      </c>
      <c r="D29" s="138">
        <v>610</v>
      </c>
      <c r="E29" s="146" t="s">
        <v>121</v>
      </c>
      <c r="F29" s="29">
        <f>'приложение 4'!G567</f>
        <v>24810691.280000001</v>
      </c>
      <c r="G29" s="29">
        <f>'приложение 4'!H567</f>
        <v>24810691.280000001</v>
      </c>
      <c r="H29" s="29">
        <f>'приложение 4'!I567</f>
        <v>23559035.219999999</v>
      </c>
      <c r="I29" s="193">
        <f t="shared" si="1"/>
        <v>94.955174582302078</v>
      </c>
    </row>
    <row r="30" spans="1:9" ht="45">
      <c r="A30" s="138">
        <v>17</v>
      </c>
      <c r="B30" s="70" t="s">
        <v>350</v>
      </c>
      <c r="C30" s="138" t="str">
        <f>'приложение 4'!E568</f>
        <v>0230000660</v>
      </c>
      <c r="D30" s="138">
        <v>610</v>
      </c>
      <c r="E30" s="146" t="s">
        <v>121</v>
      </c>
      <c r="F30" s="29">
        <f>'приложение 4'!G570</f>
        <v>20701366</v>
      </c>
      <c r="G30" s="29">
        <f>'приложение 4'!H570</f>
        <v>20701366</v>
      </c>
      <c r="H30" s="29">
        <f>'приложение 4'!I570</f>
        <v>20701366</v>
      </c>
      <c r="I30" s="193">
        <f t="shared" si="1"/>
        <v>100</v>
      </c>
    </row>
    <row r="31" spans="1:9" ht="68.25" customHeight="1">
      <c r="A31" s="182">
        <v>18</v>
      </c>
      <c r="B31" s="70" t="str">
        <f>'приложение 4'!B571</f>
        <v>Иные межбюджетные трансферты на финансовое обеспечение расходов на увеличение размеролв оплаты труда работников муниципальных учреждений культуры, подведомственных муниципальным органам управления в области культуры</v>
      </c>
      <c r="C31" s="181" t="str">
        <f>'приложение 4'!E573</f>
        <v>0230010330</v>
      </c>
      <c r="D31" s="182">
        <v>610</v>
      </c>
      <c r="E31" s="181" t="s">
        <v>121</v>
      </c>
      <c r="F31" s="29">
        <f>'приложение 4'!G573</f>
        <v>0</v>
      </c>
      <c r="G31" s="29">
        <f>'приложение 4'!H573</f>
        <v>1246140</v>
      </c>
      <c r="H31" s="29">
        <f>'приложение 4'!I573</f>
        <v>1246140</v>
      </c>
      <c r="I31" s="193">
        <f t="shared" si="1"/>
        <v>100</v>
      </c>
    </row>
    <row r="32" spans="1:9" ht="30">
      <c r="A32" s="138">
        <v>19</v>
      </c>
      <c r="B32" s="154" t="s">
        <v>65</v>
      </c>
      <c r="C32" s="152" t="s">
        <v>206</v>
      </c>
      <c r="D32" s="53"/>
      <c r="E32" s="54"/>
      <c r="F32" s="41">
        <f>F33+F37+F38+F39+F41+F42+F40+F34+F35+F36+F43</f>
        <v>45602191.439999998</v>
      </c>
      <c r="G32" s="41">
        <f t="shared" ref="G32:H32" si="7">G33+G37+G38+G39+G41+G42+G40+G34+G35+G36+G43</f>
        <v>45599191.439999998</v>
      </c>
      <c r="H32" s="41">
        <f t="shared" si="7"/>
        <v>45417885.670000002</v>
      </c>
      <c r="I32" s="194">
        <f t="shared" si="1"/>
        <v>99.602392576985579</v>
      </c>
    </row>
    <row r="33" spans="1:9" ht="60">
      <c r="A33" s="138">
        <v>20</v>
      </c>
      <c r="B33" s="139" t="s">
        <v>343</v>
      </c>
      <c r="C33" s="138" t="str">
        <f>'приложение 4'!E528</f>
        <v>0240000610</v>
      </c>
      <c r="D33" s="138">
        <v>610</v>
      </c>
      <c r="E33" s="146" t="s">
        <v>165</v>
      </c>
      <c r="F33" s="29">
        <f>'приложение 4'!G530</f>
        <v>38079421.439999998</v>
      </c>
      <c r="G33" s="29">
        <f>'приложение 4'!H530</f>
        <v>38079421.439999998</v>
      </c>
      <c r="H33" s="29">
        <f>'приложение 4'!I530</f>
        <v>37911783.82</v>
      </c>
      <c r="I33" s="193">
        <f t="shared" si="1"/>
        <v>99.559768469003302</v>
      </c>
    </row>
    <row r="34" spans="1:9" ht="54" customHeight="1">
      <c r="A34" s="138">
        <v>21</v>
      </c>
      <c r="B34" s="139" t="s">
        <v>540</v>
      </c>
      <c r="C34" s="138" t="s">
        <v>522</v>
      </c>
      <c r="D34" s="138">
        <v>610</v>
      </c>
      <c r="E34" s="146" t="s">
        <v>122</v>
      </c>
      <c r="F34" s="29">
        <f>'приложение 4'!G587</f>
        <v>2101440</v>
      </c>
      <c r="G34" s="29">
        <f>'приложение 4'!H587</f>
        <v>2101440</v>
      </c>
      <c r="H34" s="29">
        <f>'приложение 4'!I587</f>
        <v>2101440</v>
      </c>
      <c r="I34" s="193">
        <f t="shared" si="1"/>
        <v>100</v>
      </c>
    </row>
    <row r="35" spans="1:9" ht="66" customHeight="1">
      <c r="A35" s="138">
        <v>22</v>
      </c>
      <c r="B35" s="139" t="s">
        <v>541</v>
      </c>
      <c r="C35" s="146" t="s">
        <v>523</v>
      </c>
      <c r="D35" s="138">
        <v>610</v>
      </c>
      <c r="E35" s="146" t="s">
        <v>121</v>
      </c>
      <c r="F35" s="29">
        <f>'приложение 4'!G590</f>
        <v>50000</v>
      </c>
      <c r="G35" s="29">
        <f>'приложение 4'!H590</f>
        <v>50000</v>
      </c>
      <c r="H35" s="29">
        <f>'приложение 4'!I590</f>
        <v>50000</v>
      </c>
      <c r="I35" s="193">
        <f t="shared" si="1"/>
        <v>100</v>
      </c>
    </row>
    <row r="36" spans="1:9" ht="61.9" customHeight="1">
      <c r="A36" s="138">
        <v>23</v>
      </c>
      <c r="B36" s="139" t="s">
        <v>542</v>
      </c>
      <c r="C36" s="146" t="s">
        <v>524</v>
      </c>
      <c r="D36" s="138">
        <v>610</v>
      </c>
      <c r="E36" s="146" t="s">
        <v>115</v>
      </c>
      <c r="F36" s="29">
        <f>'приложение 4'!G593</f>
        <v>200000</v>
      </c>
      <c r="G36" s="29">
        <f>'приложение 4'!H593</f>
        <v>200000</v>
      </c>
      <c r="H36" s="29">
        <f>'приложение 4'!I593</f>
        <v>200000</v>
      </c>
      <c r="I36" s="193">
        <f t="shared" si="1"/>
        <v>100</v>
      </c>
    </row>
    <row r="37" spans="1:9">
      <c r="A37" s="206">
        <v>24</v>
      </c>
      <c r="B37" s="207" t="s">
        <v>360</v>
      </c>
      <c r="C37" s="206" t="str">
        <f>'приложение 4'!E599</f>
        <v>0240000610</v>
      </c>
      <c r="D37" s="138">
        <v>110</v>
      </c>
      <c r="E37" s="146" t="s">
        <v>122</v>
      </c>
      <c r="F37" s="29">
        <f>'приложение 4'!G601</f>
        <v>3913901</v>
      </c>
      <c r="G37" s="29">
        <f>'приложение 4'!H601</f>
        <v>3913901</v>
      </c>
      <c r="H37" s="29">
        <f>'приложение 4'!I601</f>
        <v>3908299.02</v>
      </c>
      <c r="I37" s="193">
        <f t="shared" si="1"/>
        <v>99.85686965510881</v>
      </c>
    </row>
    <row r="38" spans="1:9">
      <c r="A38" s="206"/>
      <c r="B38" s="207"/>
      <c r="C38" s="206"/>
      <c r="D38" s="138">
        <v>240</v>
      </c>
      <c r="E38" s="146" t="s">
        <v>122</v>
      </c>
      <c r="F38" s="29">
        <f>'приложение 4'!G603</f>
        <v>446299</v>
      </c>
      <c r="G38" s="29">
        <f>'приложение 4'!H603</f>
        <v>446299</v>
      </c>
      <c r="H38" s="29">
        <f>'приложение 4'!I603</f>
        <v>439262.68</v>
      </c>
      <c r="I38" s="193">
        <f t="shared" si="1"/>
        <v>98.42340672956918</v>
      </c>
    </row>
    <row r="39" spans="1:9">
      <c r="A39" s="206"/>
      <c r="B39" s="207"/>
      <c r="C39" s="206"/>
      <c r="D39" s="138">
        <v>850</v>
      </c>
      <c r="E39" s="146" t="s">
        <v>122</v>
      </c>
      <c r="F39" s="29">
        <f>'приложение 4'!G605</f>
        <v>1000</v>
      </c>
      <c r="G39" s="29">
        <f>'приложение 4'!H605</f>
        <v>1000</v>
      </c>
      <c r="H39" s="29">
        <f>'приложение 4'!I605</f>
        <v>0.15</v>
      </c>
      <c r="I39" s="193">
        <f t="shared" si="1"/>
        <v>1.4999999999999999E-2</v>
      </c>
    </row>
    <row r="40" spans="1:9" ht="30">
      <c r="A40" s="138">
        <v>25</v>
      </c>
      <c r="B40" s="139" t="s">
        <v>467</v>
      </c>
      <c r="C40" s="146" t="str">
        <f>'приложение 4'!E578</f>
        <v>02400L5190</v>
      </c>
      <c r="D40" s="138">
        <v>610</v>
      </c>
      <c r="E40" s="146" t="s">
        <v>121</v>
      </c>
      <c r="F40" s="29">
        <f>'приложение 4'!G578</f>
        <v>162200</v>
      </c>
      <c r="G40" s="29">
        <f>'приложение 4'!H578</f>
        <v>162200</v>
      </c>
      <c r="H40" s="29">
        <f>'приложение 4'!I578</f>
        <v>162200</v>
      </c>
      <c r="I40" s="193">
        <f t="shared" si="1"/>
        <v>100</v>
      </c>
    </row>
    <row r="41" spans="1:9" ht="34.5" customHeight="1">
      <c r="A41" s="206">
        <v>26</v>
      </c>
      <c r="B41" s="263" t="s">
        <v>394</v>
      </c>
      <c r="C41" s="146" t="s">
        <v>290</v>
      </c>
      <c r="D41" s="138">
        <v>610</v>
      </c>
      <c r="E41" s="146" t="s">
        <v>121</v>
      </c>
      <c r="F41" s="29">
        <f>'приложение 4'!G577</f>
        <v>100000</v>
      </c>
      <c r="G41" s="29">
        <f>'приложение 4'!H577</f>
        <v>100000</v>
      </c>
      <c r="H41" s="29">
        <f>'приложение 4'!I577</f>
        <v>100000</v>
      </c>
      <c r="I41" s="193">
        <f t="shared" si="1"/>
        <v>100</v>
      </c>
    </row>
    <row r="42" spans="1:9" ht="31.5" customHeight="1">
      <c r="A42" s="206"/>
      <c r="B42" s="263"/>
      <c r="C42" s="146" t="str">
        <f>'приложение 4'!E586</f>
        <v>02400S4880</v>
      </c>
      <c r="D42" s="138">
        <v>610</v>
      </c>
      <c r="E42" s="146" t="s">
        <v>121</v>
      </c>
      <c r="F42" s="29">
        <f>'приложение 4'!G586</f>
        <v>244900</v>
      </c>
      <c r="G42" s="29">
        <f>'приложение 4'!H586</f>
        <v>244900</v>
      </c>
      <c r="H42" s="29">
        <f>'приложение 4'!I586</f>
        <v>244900</v>
      </c>
      <c r="I42" s="193">
        <f t="shared" si="1"/>
        <v>100</v>
      </c>
    </row>
    <row r="43" spans="1:9" ht="45.6" customHeight="1">
      <c r="A43" s="138">
        <v>27</v>
      </c>
      <c r="B43" s="142" t="s">
        <v>545</v>
      </c>
      <c r="C43" s="146" t="s">
        <v>544</v>
      </c>
      <c r="D43" s="138">
        <v>610</v>
      </c>
      <c r="E43" s="146" t="s">
        <v>121</v>
      </c>
      <c r="F43" s="29">
        <f>'приложение 4'!G581</f>
        <v>303030</v>
      </c>
      <c r="G43" s="29">
        <f>'приложение 4'!H581</f>
        <v>300030</v>
      </c>
      <c r="H43" s="29">
        <f>'приложение 4'!I581</f>
        <v>300000</v>
      </c>
      <c r="I43" s="193">
        <f t="shared" si="1"/>
        <v>99.990000999900005</v>
      </c>
    </row>
    <row r="44" spans="1:9" ht="15.75">
      <c r="A44" s="138">
        <v>28</v>
      </c>
      <c r="B44" s="52" t="s">
        <v>237</v>
      </c>
      <c r="C44" s="152" t="s">
        <v>238</v>
      </c>
      <c r="D44" s="53"/>
      <c r="E44" s="54"/>
      <c r="F44" s="41">
        <f>F45</f>
        <v>40000</v>
      </c>
      <c r="G44" s="41">
        <f t="shared" ref="G44:H44" si="8">G45</f>
        <v>40000</v>
      </c>
      <c r="H44" s="41">
        <f t="shared" si="8"/>
        <v>39695</v>
      </c>
      <c r="I44" s="193">
        <f t="shared" si="1"/>
        <v>99.237499999999997</v>
      </c>
    </row>
    <row r="45" spans="1:9" ht="63">
      <c r="A45" s="138">
        <v>29</v>
      </c>
      <c r="B45" s="119" t="s">
        <v>465</v>
      </c>
      <c r="C45" s="121" t="str">
        <f>'приложение 4'!E609</f>
        <v>0250094800</v>
      </c>
      <c r="D45" s="138">
        <v>610</v>
      </c>
      <c r="E45" s="146" t="s">
        <v>122</v>
      </c>
      <c r="F45" s="55">
        <f>'приложение 4'!G609</f>
        <v>40000</v>
      </c>
      <c r="G45" s="55">
        <f>'приложение 4'!H609</f>
        <v>40000</v>
      </c>
      <c r="H45" s="55">
        <f>'приложение 4'!I609</f>
        <v>39695</v>
      </c>
      <c r="I45" s="193">
        <f t="shared" si="1"/>
        <v>99.237499999999997</v>
      </c>
    </row>
    <row r="46" spans="1:9" ht="42.75">
      <c r="A46" s="138">
        <v>30</v>
      </c>
      <c r="B46" s="82" t="s">
        <v>217</v>
      </c>
      <c r="C46" s="54" t="s">
        <v>182</v>
      </c>
      <c r="D46" s="138"/>
      <c r="E46" s="146"/>
      <c r="F46" s="56">
        <f>F47+F53+F71+F78</f>
        <v>758415702.23000002</v>
      </c>
      <c r="G46" s="56">
        <f>G47+G53+G71+G78</f>
        <v>757115702.23000002</v>
      </c>
      <c r="H46" s="56">
        <f>H47+H53+H71+H78</f>
        <v>737899749.18999994</v>
      </c>
      <c r="I46" s="194">
        <f t="shared" si="1"/>
        <v>97.461952911107034</v>
      </c>
    </row>
    <row r="47" spans="1:9">
      <c r="A47" s="138">
        <v>31</v>
      </c>
      <c r="B47" s="154" t="s">
        <v>133</v>
      </c>
      <c r="C47" s="152" t="s">
        <v>192</v>
      </c>
      <c r="D47" s="53"/>
      <c r="E47" s="54"/>
      <c r="F47" s="41">
        <f>F48+F49+F50+F51+F52</f>
        <v>224175991.43000001</v>
      </c>
      <c r="G47" s="41">
        <f t="shared" ref="G47:H47" si="9">G48+G49+G50+G51+G52</f>
        <v>224175991.43000001</v>
      </c>
      <c r="H47" s="41">
        <f t="shared" si="9"/>
        <v>222669945.11000001</v>
      </c>
      <c r="I47" s="194">
        <f t="shared" si="1"/>
        <v>99.328185721230426</v>
      </c>
    </row>
    <row r="48" spans="1:9" ht="60">
      <c r="A48" s="138">
        <v>32</v>
      </c>
      <c r="B48" s="148" t="s">
        <v>331</v>
      </c>
      <c r="C48" s="138" t="str">
        <f>'приложение 4'!E406</f>
        <v>0310000610</v>
      </c>
      <c r="D48" s="138">
        <v>610</v>
      </c>
      <c r="E48" s="146" t="s">
        <v>115</v>
      </c>
      <c r="F48" s="55">
        <f>'приложение 4'!G408</f>
        <v>115249990.93000001</v>
      </c>
      <c r="G48" s="55">
        <f>'приложение 4'!H408</f>
        <v>115249990.93000001</v>
      </c>
      <c r="H48" s="55">
        <f>'приложение 4'!I408</f>
        <v>113931433.19</v>
      </c>
      <c r="I48" s="193">
        <f t="shared" si="1"/>
        <v>98.85591510302082</v>
      </c>
    </row>
    <row r="49" spans="1:9" ht="150">
      <c r="A49" s="138">
        <v>33</v>
      </c>
      <c r="B49" s="143" t="s">
        <v>332</v>
      </c>
      <c r="C49" s="138" t="str">
        <f>'приложение 4'!E412</f>
        <v>0310074080</v>
      </c>
      <c r="D49" s="138">
        <v>610</v>
      </c>
      <c r="E49" s="146" t="s">
        <v>115</v>
      </c>
      <c r="F49" s="55">
        <f>'приложение 4'!G412</f>
        <v>41275330.5</v>
      </c>
      <c r="G49" s="55">
        <f>'приложение 4'!H412</f>
        <v>41275330.5</v>
      </c>
      <c r="H49" s="55">
        <f>'приложение 4'!I412</f>
        <v>41200440.799999997</v>
      </c>
      <c r="I49" s="193">
        <f t="shared" si="1"/>
        <v>99.818560629090541</v>
      </c>
    </row>
    <row r="50" spans="1:9" ht="150">
      <c r="A50" s="138">
        <v>34</v>
      </c>
      <c r="B50" s="143" t="s">
        <v>333</v>
      </c>
      <c r="C50" s="138" t="str">
        <f>'приложение 4'!E415</f>
        <v>0310075880</v>
      </c>
      <c r="D50" s="138">
        <v>610</v>
      </c>
      <c r="E50" s="146" t="s">
        <v>115</v>
      </c>
      <c r="F50" s="55">
        <f>'приложение 4'!G417</f>
        <v>60291370</v>
      </c>
      <c r="G50" s="55">
        <f>'приложение 4'!H417</f>
        <v>60291370</v>
      </c>
      <c r="H50" s="55">
        <f>'приложение 4'!I417</f>
        <v>60178771.119999997</v>
      </c>
      <c r="I50" s="193">
        <f t="shared" si="1"/>
        <v>99.813242127355878</v>
      </c>
    </row>
    <row r="51" spans="1:9" ht="135">
      <c r="A51" s="138">
        <v>35</v>
      </c>
      <c r="B51" s="144" t="s">
        <v>334</v>
      </c>
      <c r="C51" s="138" t="str">
        <f>'приложение 4'!E418</f>
        <v>0310075540</v>
      </c>
      <c r="D51" s="138">
        <v>610</v>
      </c>
      <c r="E51" s="146" t="s">
        <v>115</v>
      </c>
      <c r="F51" s="55">
        <f>'приложение 4'!G420</f>
        <v>239300</v>
      </c>
      <c r="G51" s="55">
        <f>'приложение 4'!H420</f>
        <v>239300</v>
      </c>
      <c r="H51" s="55">
        <f>'приложение 4'!I420</f>
        <v>239300</v>
      </c>
      <c r="I51" s="193">
        <f t="shared" si="1"/>
        <v>100</v>
      </c>
    </row>
    <row r="52" spans="1:9" ht="64.5" customHeight="1">
      <c r="A52" s="138">
        <v>36</v>
      </c>
      <c r="B52" s="144" t="str">
        <f>'приложение 4'!B409</f>
        <v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v>
      </c>
      <c r="C52" s="146" t="str">
        <f>'приложение 4'!E411</f>
        <v>03100S8400</v>
      </c>
      <c r="D52" s="147">
        <f>'приложение 4'!F411</f>
        <v>610</v>
      </c>
      <c r="E52" s="146" t="str">
        <f>'приложение 4'!D411</f>
        <v>0701</v>
      </c>
      <c r="F52" s="55">
        <f>'приложение 4'!G411</f>
        <v>7120000</v>
      </c>
      <c r="G52" s="55">
        <f>'приложение 4'!H411</f>
        <v>7120000</v>
      </c>
      <c r="H52" s="55">
        <f>'приложение 4'!I411</f>
        <v>7120000</v>
      </c>
      <c r="I52" s="193">
        <f t="shared" si="1"/>
        <v>100</v>
      </c>
    </row>
    <row r="53" spans="1:9">
      <c r="A53" s="138">
        <v>37</v>
      </c>
      <c r="B53" s="154" t="s">
        <v>134</v>
      </c>
      <c r="C53" s="152" t="s">
        <v>197</v>
      </c>
      <c r="D53" s="53"/>
      <c r="E53" s="54"/>
      <c r="F53" s="41">
        <f>F54+F55+F56+F57+F58+F59+F60+F61+F63+F64+F65+F68+F69+F70+F62+F67</f>
        <v>473919153.08999997</v>
      </c>
      <c r="G53" s="41">
        <f>G54+G55+G56+G57+G58+G59+G60+G61+G63+G64+G65+G68+G69+G70+G62+G67</f>
        <v>472619153.08999997</v>
      </c>
      <c r="H53" s="41">
        <f>H54+H55+H56+H57+H58+H59+H60+H61+H63+H64+H65+H68+H69+H70+H62+H67</f>
        <v>456140978.89000005</v>
      </c>
      <c r="I53" s="194">
        <f t="shared" si="1"/>
        <v>96.51343495237866</v>
      </c>
    </row>
    <row r="54" spans="1:9" ht="60">
      <c r="A54" s="138">
        <v>38</v>
      </c>
      <c r="B54" s="148" t="s">
        <v>335</v>
      </c>
      <c r="C54" s="138" t="str">
        <f>'приложение 4'!E429</f>
        <v>0320000610</v>
      </c>
      <c r="D54" s="138">
        <v>610</v>
      </c>
      <c r="E54" s="146" t="s">
        <v>116</v>
      </c>
      <c r="F54" s="29">
        <f>'приложение 4'!G431</f>
        <v>194092894.15000001</v>
      </c>
      <c r="G54" s="29">
        <f>'приложение 4'!H431</f>
        <v>194092894.15000001</v>
      </c>
      <c r="H54" s="29">
        <f>'приложение 4'!I431</f>
        <v>182018282.58000001</v>
      </c>
      <c r="I54" s="193">
        <f t="shared" si="1"/>
        <v>93.778952278042482</v>
      </c>
    </row>
    <row r="55" spans="1:9" ht="45">
      <c r="A55" s="138">
        <v>39</v>
      </c>
      <c r="B55" s="153" t="s">
        <v>470</v>
      </c>
      <c r="C55" s="146" t="str">
        <f>'приложение 4'!E434</f>
        <v>0320053030</v>
      </c>
      <c r="D55" s="138">
        <v>610</v>
      </c>
      <c r="E55" s="146" t="s">
        <v>116</v>
      </c>
      <c r="F55" s="29">
        <f>'приложение 4'!G434</f>
        <v>19405000</v>
      </c>
      <c r="G55" s="29">
        <f>'приложение 4'!H434</f>
        <v>18105000</v>
      </c>
      <c r="H55" s="29">
        <f>'приложение 4'!I434</f>
        <v>17942893.510000002</v>
      </c>
      <c r="I55" s="193">
        <f t="shared" si="1"/>
        <v>99.104631372549022</v>
      </c>
    </row>
    <row r="56" spans="1:9" ht="105">
      <c r="A56" s="138">
        <v>40</v>
      </c>
      <c r="B56" s="153" t="s">
        <v>488</v>
      </c>
      <c r="C56" s="146" t="str">
        <f>'приложение 4'!E435</f>
        <v>0320015210</v>
      </c>
      <c r="D56" s="138">
        <v>610</v>
      </c>
      <c r="E56" s="146" t="s">
        <v>116</v>
      </c>
      <c r="F56" s="29">
        <f>'приложение 4'!G437</f>
        <v>1130400</v>
      </c>
      <c r="G56" s="29">
        <f>'приложение 4'!H437</f>
        <v>1130400</v>
      </c>
      <c r="H56" s="29">
        <f>'приложение 4'!I437</f>
        <v>1126667</v>
      </c>
      <c r="I56" s="193">
        <f t="shared" si="1"/>
        <v>99.66976291578203</v>
      </c>
    </row>
    <row r="57" spans="1:9" ht="90">
      <c r="A57" s="138">
        <v>41</v>
      </c>
      <c r="B57" s="69" t="s">
        <v>336</v>
      </c>
      <c r="C57" s="138" t="str">
        <f>'приложение 4'!E440</f>
        <v>0320076490</v>
      </c>
      <c r="D57" s="138">
        <v>610</v>
      </c>
      <c r="E57" s="146" t="s">
        <v>116</v>
      </c>
      <c r="F57" s="29">
        <f>'приложение 4'!G440</f>
        <v>2625200</v>
      </c>
      <c r="G57" s="29">
        <f>'приложение 4'!H440</f>
        <v>2625200</v>
      </c>
      <c r="H57" s="29">
        <f>'приложение 4'!I440</f>
        <v>2602385.11</v>
      </c>
      <c r="I57" s="193">
        <f t="shared" si="1"/>
        <v>99.130927548377258</v>
      </c>
    </row>
    <row r="58" spans="1:9" ht="135">
      <c r="A58" s="138">
        <v>42</v>
      </c>
      <c r="B58" s="143" t="s">
        <v>337</v>
      </c>
      <c r="C58" s="138" t="str">
        <f>'приложение 4'!E441</f>
        <v>0320074090</v>
      </c>
      <c r="D58" s="138">
        <v>610</v>
      </c>
      <c r="E58" s="146" t="s">
        <v>116</v>
      </c>
      <c r="F58" s="29">
        <f>'приложение 4'!G443</f>
        <v>43708990</v>
      </c>
      <c r="G58" s="29">
        <f>'приложение 4'!H443</f>
        <v>43708990</v>
      </c>
      <c r="H58" s="29">
        <f>'приложение 4'!I443</f>
        <v>43590048.950000003</v>
      </c>
      <c r="I58" s="193">
        <f t="shared" si="1"/>
        <v>99.727879665030017</v>
      </c>
    </row>
    <row r="59" spans="1:9" ht="75">
      <c r="A59" s="138">
        <v>43</v>
      </c>
      <c r="B59" s="143" t="s">
        <v>361</v>
      </c>
      <c r="C59" s="146" t="str">
        <f>'приложение 4'!E450</f>
        <v>03200S5630</v>
      </c>
      <c r="D59" s="138">
        <v>610</v>
      </c>
      <c r="E59" s="146" t="s">
        <v>116</v>
      </c>
      <c r="F59" s="29">
        <f>'приложение 4'!G452</f>
        <v>1704340.56</v>
      </c>
      <c r="G59" s="29">
        <f>'приложение 4'!H452</f>
        <v>1704340.56</v>
      </c>
      <c r="H59" s="29">
        <f>'приложение 4'!I452</f>
        <v>1541728.18</v>
      </c>
      <c r="I59" s="193">
        <f t="shared" si="1"/>
        <v>90.458926823873739</v>
      </c>
    </row>
    <row r="60" spans="1:9" ht="55.5" customHeight="1">
      <c r="A60" s="206">
        <v>44</v>
      </c>
      <c r="B60" s="251" t="s">
        <v>338</v>
      </c>
      <c r="C60" s="206" t="str">
        <f>'приложение 4'!E453</f>
        <v>0320075640</v>
      </c>
      <c r="D60" s="138">
        <v>610</v>
      </c>
      <c r="E60" s="146" t="s">
        <v>116</v>
      </c>
      <c r="F60" s="29">
        <f>'приложение 4'!G455</f>
        <v>173727416.41999999</v>
      </c>
      <c r="G60" s="29">
        <f>'приложение 4'!H455</f>
        <v>173727416.41999999</v>
      </c>
      <c r="H60" s="29">
        <f>'приложение 4'!I455</f>
        <v>173242787.25999999</v>
      </c>
      <c r="I60" s="193">
        <f t="shared" si="1"/>
        <v>99.721040484002614</v>
      </c>
    </row>
    <row r="61" spans="1:9" ht="88.5" customHeight="1">
      <c r="A61" s="206"/>
      <c r="B61" s="251"/>
      <c r="C61" s="206"/>
      <c r="D61" s="138">
        <v>610</v>
      </c>
      <c r="E61" s="146" t="s">
        <v>165</v>
      </c>
      <c r="F61" s="29">
        <f>'приложение 4'!G475</f>
        <v>2463200</v>
      </c>
      <c r="G61" s="29">
        <f>'приложение 4'!H475</f>
        <v>2463200</v>
      </c>
      <c r="H61" s="29">
        <f>'приложение 4'!I475</f>
        <v>2454500</v>
      </c>
      <c r="I61" s="193">
        <f t="shared" si="1"/>
        <v>99.646800909386172</v>
      </c>
    </row>
    <row r="62" spans="1:9" ht="85.5" customHeight="1">
      <c r="A62" s="138">
        <v>45</v>
      </c>
      <c r="B62" s="148" t="s">
        <v>538</v>
      </c>
      <c r="C62" s="146" t="s">
        <v>531</v>
      </c>
      <c r="D62" s="147">
        <v>610</v>
      </c>
      <c r="E62" s="146" t="s">
        <v>116</v>
      </c>
      <c r="F62" s="29">
        <f>'приложение 4'!G444</f>
        <v>1207840</v>
      </c>
      <c r="G62" s="29">
        <f>'приложение 4'!H444</f>
        <v>1207840</v>
      </c>
      <c r="H62" s="29">
        <f>'приложение 4'!I444</f>
        <v>1207838.3999999999</v>
      </c>
      <c r="I62" s="193">
        <f t="shared" si="1"/>
        <v>99.99986753212346</v>
      </c>
    </row>
    <row r="63" spans="1:9" ht="65.25" customHeight="1">
      <c r="A63" s="138">
        <v>46</v>
      </c>
      <c r="B63" s="148" t="str">
        <f>'приложение 4'!B447</f>
        <v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3" s="146" t="str">
        <f>'приложение 4'!E447</f>
        <v>03200S5620</v>
      </c>
      <c r="D63" s="147">
        <f>'приложение 4'!F449</f>
        <v>610</v>
      </c>
      <c r="E63" s="146" t="str">
        <f>'приложение 4'!D449</f>
        <v>0702</v>
      </c>
      <c r="F63" s="29">
        <f>'приложение 4'!G449</f>
        <v>15151517.34</v>
      </c>
      <c r="G63" s="29">
        <f>'приложение 4'!H449</f>
        <v>15151517.34</v>
      </c>
      <c r="H63" s="29">
        <f>'приложение 4'!I449</f>
        <v>12833914.35</v>
      </c>
      <c r="I63" s="193">
        <f t="shared" si="1"/>
        <v>84.70382247537988</v>
      </c>
    </row>
    <row r="64" spans="1:9" ht="60">
      <c r="A64" s="138">
        <v>47</v>
      </c>
      <c r="B64" s="148" t="s">
        <v>460</v>
      </c>
      <c r="C64" s="146" t="str">
        <f>'приложение 4'!E462</f>
        <v>0320088270</v>
      </c>
      <c r="D64" s="138">
        <v>610</v>
      </c>
      <c r="E64" s="146" t="s">
        <v>116</v>
      </c>
      <c r="F64" s="29">
        <f>'приложение 4'!G462</f>
        <v>430631</v>
      </c>
      <c r="G64" s="29">
        <f>'приложение 4'!H462</f>
        <v>430631</v>
      </c>
      <c r="H64" s="29">
        <f>'приложение 4'!I462</f>
        <v>430631</v>
      </c>
      <c r="I64" s="193">
        <f t="shared" si="1"/>
        <v>100</v>
      </c>
    </row>
    <row r="65" spans="1:9" ht="55.5" customHeight="1">
      <c r="A65" s="218">
        <v>48</v>
      </c>
      <c r="B65" s="216" t="s">
        <v>338</v>
      </c>
      <c r="C65" s="214" t="str">
        <f>'приложение 4'!E456</f>
        <v>032Е151720</v>
      </c>
      <c r="D65" s="218">
        <v>610</v>
      </c>
      <c r="E65" s="214" t="s">
        <v>116</v>
      </c>
      <c r="F65" s="202">
        <f>'приложение 4'!G458</f>
        <v>2121300</v>
      </c>
      <c r="G65" s="202">
        <f>'приложение 4'!H458</f>
        <v>2121300</v>
      </c>
      <c r="H65" s="202">
        <f>'приложение 4'!I458</f>
        <v>2121300</v>
      </c>
      <c r="I65" s="208">
        <f t="shared" si="1"/>
        <v>100</v>
      </c>
    </row>
    <row r="66" spans="1:9" ht="95.25" customHeight="1">
      <c r="A66" s="219"/>
      <c r="B66" s="217"/>
      <c r="C66" s="215"/>
      <c r="D66" s="219"/>
      <c r="E66" s="215"/>
      <c r="F66" s="203"/>
      <c r="G66" s="203"/>
      <c r="H66" s="203"/>
      <c r="I66" s="209"/>
    </row>
    <row r="67" spans="1:9" ht="57" customHeight="1">
      <c r="A67" s="151">
        <v>49</v>
      </c>
      <c r="B67" s="157" t="s">
        <v>539</v>
      </c>
      <c r="C67" s="149" t="s">
        <v>516</v>
      </c>
      <c r="D67" s="151">
        <v>610</v>
      </c>
      <c r="E67" s="149" t="s">
        <v>116</v>
      </c>
      <c r="F67" s="185">
        <f>'приложение 4'!G459</f>
        <v>287530</v>
      </c>
      <c r="G67" s="185">
        <f>'приложение 4'!H459</f>
        <v>287530</v>
      </c>
      <c r="H67" s="185">
        <f>'приложение 4'!I459</f>
        <v>285867.88</v>
      </c>
      <c r="I67" s="193">
        <f t="shared" si="1"/>
        <v>99.421931624526138</v>
      </c>
    </row>
    <row r="68" spans="1:9" ht="57" customHeight="1">
      <c r="A68" s="206">
        <v>50</v>
      </c>
      <c r="B68" s="243" t="s">
        <v>341</v>
      </c>
      <c r="C68" s="206" t="str">
        <f>'приложение 4'!E507</f>
        <v>0320075660</v>
      </c>
      <c r="D68" s="138">
        <v>610</v>
      </c>
      <c r="E68" s="222" t="s">
        <v>126</v>
      </c>
      <c r="F68" s="29">
        <f>'приложение 4'!G511</f>
        <v>4846300</v>
      </c>
      <c r="G68" s="29">
        <f>'приложение 4'!H511</f>
        <v>4846300</v>
      </c>
      <c r="H68" s="29">
        <f>'приложение 4'!I511</f>
        <v>4328086.58</v>
      </c>
      <c r="I68" s="193">
        <f t="shared" si="1"/>
        <v>89.307029692755307</v>
      </c>
    </row>
    <row r="69" spans="1:9" ht="51.6" customHeight="1">
      <c r="A69" s="206"/>
      <c r="B69" s="243"/>
      <c r="C69" s="206"/>
      <c r="D69" s="138">
        <v>320</v>
      </c>
      <c r="E69" s="222"/>
      <c r="F69" s="29">
        <f>'приложение 4'!G509</f>
        <v>230000</v>
      </c>
      <c r="G69" s="29">
        <f>'приложение 4'!H509</f>
        <v>230000</v>
      </c>
      <c r="H69" s="29">
        <f>'приложение 4'!I509</f>
        <v>163260.29999999999</v>
      </c>
      <c r="I69" s="193">
        <f t="shared" si="1"/>
        <v>70.98273913043478</v>
      </c>
    </row>
    <row r="70" spans="1:9" ht="120">
      <c r="A70" s="138">
        <v>51</v>
      </c>
      <c r="B70" s="148" t="s">
        <v>420</v>
      </c>
      <c r="C70" s="146" t="str">
        <f>'приложение 4'!E512</f>
        <v>03200L3040</v>
      </c>
      <c r="D70" s="138">
        <v>610</v>
      </c>
      <c r="E70" s="146" t="s">
        <v>126</v>
      </c>
      <c r="F70" s="29">
        <f>'приложение 4'!G512</f>
        <v>10786593.619999999</v>
      </c>
      <c r="G70" s="29">
        <f>'приложение 4'!H512</f>
        <v>10786593.619999999</v>
      </c>
      <c r="H70" s="29">
        <f>'приложение 4'!I512</f>
        <v>10250787.789999999</v>
      </c>
      <c r="I70" s="193">
        <f t="shared" si="1"/>
        <v>95.03266880281339</v>
      </c>
    </row>
    <row r="71" spans="1:9">
      <c r="A71" s="138">
        <v>52</v>
      </c>
      <c r="B71" s="154" t="s">
        <v>135</v>
      </c>
      <c r="C71" s="152" t="s">
        <v>201</v>
      </c>
      <c r="D71" s="53"/>
      <c r="E71" s="54"/>
      <c r="F71" s="41">
        <f>F72+F73+F74+F75+F76+F77</f>
        <v>30329444</v>
      </c>
      <c r="G71" s="41">
        <f t="shared" ref="G71:H71" si="10">G72+G73+G74+G75+G76+G77</f>
        <v>30329444</v>
      </c>
      <c r="H71" s="41">
        <f t="shared" si="10"/>
        <v>29558434.169999998</v>
      </c>
      <c r="I71" s="194">
        <f t="shared" si="1"/>
        <v>97.457883402016847</v>
      </c>
    </row>
    <row r="72" spans="1:9" ht="60">
      <c r="A72" s="138">
        <v>53</v>
      </c>
      <c r="B72" s="148" t="s">
        <v>342</v>
      </c>
      <c r="C72" s="138" t="str">
        <f>'приложение 4'!E477</f>
        <v>0330000660</v>
      </c>
      <c r="D72" s="138">
        <v>610</v>
      </c>
      <c r="E72" s="146" t="s">
        <v>165</v>
      </c>
      <c r="F72" s="29">
        <f>'приложение 4'!G479</f>
        <v>24553494.329999998</v>
      </c>
      <c r="G72" s="29">
        <f>'приложение 4'!H479</f>
        <v>24553494.329999998</v>
      </c>
      <c r="H72" s="29">
        <f>'приложение 4'!I479</f>
        <v>24095757.899999999</v>
      </c>
      <c r="I72" s="193">
        <f t="shared" si="1"/>
        <v>98.135758504072768</v>
      </c>
    </row>
    <row r="73" spans="1:9">
      <c r="A73" s="218">
        <v>54</v>
      </c>
      <c r="B73" s="256" t="s">
        <v>454</v>
      </c>
      <c r="C73" s="214" t="s">
        <v>430</v>
      </c>
      <c r="D73" s="138">
        <v>610</v>
      </c>
      <c r="E73" s="146" t="s">
        <v>165</v>
      </c>
      <c r="F73" s="29">
        <f>'приложение 4'!G482</f>
        <v>4638193</v>
      </c>
      <c r="G73" s="29">
        <f>'приложение 4'!H482</f>
        <v>4638193</v>
      </c>
      <c r="H73" s="29">
        <f>'приложение 4'!I482</f>
        <v>4402775.46</v>
      </c>
      <c r="I73" s="193">
        <f t="shared" si="1"/>
        <v>94.924369468885843</v>
      </c>
    </row>
    <row r="74" spans="1:9">
      <c r="A74" s="230"/>
      <c r="B74" s="257"/>
      <c r="C74" s="255"/>
      <c r="D74" s="138">
        <v>620</v>
      </c>
      <c r="E74" s="146" t="s">
        <v>165</v>
      </c>
      <c r="F74" s="29">
        <f>'приложение 4'!G483</f>
        <v>15830</v>
      </c>
      <c r="G74" s="29">
        <f>'приложение 4'!H483</f>
        <v>15830</v>
      </c>
      <c r="H74" s="29">
        <f>'приложение 4'!I483</f>
        <v>0</v>
      </c>
      <c r="I74" s="193">
        <f t="shared" si="1"/>
        <v>0</v>
      </c>
    </row>
    <row r="75" spans="1:9">
      <c r="A75" s="230"/>
      <c r="B75" s="257"/>
      <c r="C75" s="255"/>
      <c r="D75" s="138">
        <v>630</v>
      </c>
      <c r="E75" s="146" t="s">
        <v>165</v>
      </c>
      <c r="F75" s="29">
        <f>'приложение 4'!G484</f>
        <v>15830</v>
      </c>
      <c r="G75" s="29">
        <f>'приложение 4'!H484</f>
        <v>15830</v>
      </c>
      <c r="H75" s="29">
        <f>'приложение 4'!I484</f>
        <v>0</v>
      </c>
      <c r="I75" s="193">
        <f t="shared" si="1"/>
        <v>0</v>
      </c>
    </row>
    <row r="76" spans="1:9">
      <c r="A76" s="219"/>
      <c r="B76" s="258"/>
      <c r="C76" s="215"/>
      <c r="D76" s="138">
        <v>810</v>
      </c>
      <c r="E76" s="146" t="s">
        <v>165</v>
      </c>
      <c r="F76" s="29">
        <f>'приложение 4'!G486</f>
        <v>15830</v>
      </c>
      <c r="G76" s="29">
        <f>'приложение 4'!H486</f>
        <v>15830</v>
      </c>
      <c r="H76" s="29">
        <f>'приложение 4'!I486</f>
        <v>0</v>
      </c>
      <c r="I76" s="193">
        <f t="shared" ref="I76:I139" si="11">H76/G76*100</f>
        <v>0</v>
      </c>
    </row>
    <row r="77" spans="1:9" ht="82.5" customHeight="1">
      <c r="A77" s="151">
        <v>55</v>
      </c>
      <c r="B77" s="150" t="str">
        <f>'приложение 4'!B487</f>
        <v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муниципаоьной программы Мотыгинского района "Развитие общего и дополнительного образования в Мотыгинском районе"</v>
      </c>
      <c r="C77" s="146" t="s">
        <v>549</v>
      </c>
      <c r="D77" s="138">
        <v>610</v>
      </c>
      <c r="E77" s="146" t="s">
        <v>165</v>
      </c>
      <c r="F77" s="29">
        <f>'приложение 4'!G487</f>
        <v>1090266.67</v>
      </c>
      <c r="G77" s="29">
        <f>'приложение 4'!H487</f>
        <v>1090266.67</v>
      </c>
      <c r="H77" s="29">
        <f>'приложение 4'!I487</f>
        <v>1059900.81</v>
      </c>
      <c r="I77" s="193">
        <f t="shared" si="11"/>
        <v>97.214822681867375</v>
      </c>
    </row>
    <row r="78" spans="1:9">
      <c r="A78" s="138">
        <v>56</v>
      </c>
      <c r="B78" s="154" t="s">
        <v>54</v>
      </c>
      <c r="C78" s="141" t="s">
        <v>55</v>
      </c>
      <c r="D78" s="141"/>
      <c r="E78" s="152"/>
      <c r="F78" s="41">
        <f>F79+F81+F84+F85+F86+F87+F83+F82+F80</f>
        <v>29991113.710000001</v>
      </c>
      <c r="G78" s="41">
        <f t="shared" ref="G78:H78" si="12">G79+G81+G84+G85+G86+G87+G83+G82+G80</f>
        <v>29991113.710000001</v>
      </c>
      <c r="H78" s="41">
        <f t="shared" si="12"/>
        <v>29530391.02</v>
      </c>
      <c r="I78" s="193">
        <f t="shared" si="11"/>
        <v>98.46380266349901</v>
      </c>
    </row>
    <row r="79" spans="1:9">
      <c r="A79" s="206">
        <v>57</v>
      </c>
      <c r="B79" s="207" t="s">
        <v>339</v>
      </c>
      <c r="C79" s="206" t="str">
        <f>'приложение 4'!E493</f>
        <v>0340000610</v>
      </c>
      <c r="D79" s="138">
        <v>110</v>
      </c>
      <c r="E79" s="146" t="s">
        <v>118</v>
      </c>
      <c r="F79" s="29">
        <f>'приложение 4'!G495</f>
        <v>23115241.98</v>
      </c>
      <c r="G79" s="29">
        <f>'приложение 4'!H495</f>
        <v>23115241.98</v>
      </c>
      <c r="H79" s="29">
        <f>'приложение 4'!I495</f>
        <v>23035720.390000001</v>
      </c>
      <c r="I79" s="193">
        <f t="shared" si="11"/>
        <v>99.655977687498137</v>
      </c>
    </row>
    <row r="80" spans="1:9">
      <c r="A80" s="206"/>
      <c r="B80" s="207"/>
      <c r="C80" s="206"/>
      <c r="D80" s="138">
        <v>320</v>
      </c>
      <c r="E80" s="146" t="s">
        <v>118</v>
      </c>
      <c r="F80" s="29">
        <f>'приложение 4'!G499</f>
        <v>4885.4399999999996</v>
      </c>
      <c r="G80" s="29">
        <f>'приложение 4'!H499</f>
        <v>4885.4399999999996</v>
      </c>
      <c r="H80" s="29">
        <f>'приложение 4'!I499</f>
        <v>4885.4399999999996</v>
      </c>
      <c r="I80" s="193">
        <f t="shared" si="11"/>
        <v>100</v>
      </c>
    </row>
    <row r="81" spans="1:9">
      <c r="A81" s="206"/>
      <c r="B81" s="207"/>
      <c r="C81" s="206"/>
      <c r="D81" s="138">
        <v>240</v>
      </c>
      <c r="E81" s="146" t="s">
        <v>118</v>
      </c>
      <c r="F81" s="29">
        <f>'приложение 4'!G497</f>
        <v>3162786.29</v>
      </c>
      <c r="G81" s="29">
        <f>'приложение 4'!H497</f>
        <v>3162786.29</v>
      </c>
      <c r="H81" s="29">
        <f>'приложение 4'!I497</f>
        <v>3127138.34</v>
      </c>
      <c r="I81" s="193">
        <f t="shared" si="11"/>
        <v>98.872894127791341</v>
      </c>
    </row>
    <row r="82" spans="1:9">
      <c r="A82" s="206"/>
      <c r="B82" s="207"/>
      <c r="C82" s="206"/>
      <c r="D82" s="138">
        <v>830</v>
      </c>
      <c r="E82" s="146" t="s">
        <v>118</v>
      </c>
      <c r="F82" s="29">
        <f>'приложение 4'!G501</f>
        <v>10728.08</v>
      </c>
      <c r="G82" s="29">
        <f>'приложение 4'!H501</f>
        <v>10728.08</v>
      </c>
      <c r="H82" s="29">
        <f>'приложение 4'!I501</f>
        <v>5728.08</v>
      </c>
      <c r="I82" s="193">
        <f t="shared" si="11"/>
        <v>53.393337857286674</v>
      </c>
    </row>
    <row r="83" spans="1:9">
      <c r="A83" s="206"/>
      <c r="B83" s="207"/>
      <c r="C83" s="206"/>
      <c r="D83" s="138">
        <v>850</v>
      </c>
      <c r="E83" s="146" t="s">
        <v>118</v>
      </c>
      <c r="F83" s="29">
        <f>'приложение 4'!G502</f>
        <v>39271.919999999998</v>
      </c>
      <c r="G83" s="29">
        <f>'приложение 4'!H502</f>
        <v>39271.919999999998</v>
      </c>
      <c r="H83" s="29">
        <f>'приложение 4'!I502</f>
        <v>11781.63</v>
      </c>
      <c r="I83" s="193">
        <f t="shared" si="11"/>
        <v>30.000137502826448</v>
      </c>
    </row>
    <row r="84" spans="1:9">
      <c r="A84" s="206">
        <v>58</v>
      </c>
      <c r="B84" s="243" t="s">
        <v>147</v>
      </c>
      <c r="C84" s="206" t="str">
        <f>'приложение 4'!E278</f>
        <v>0340075520</v>
      </c>
      <c r="D84" s="138">
        <v>120</v>
      </c>
      <c r="E84" s="146" t="s">
        <v>118</v>
      </c>
      <c r="F84" s="29">
        <f>'приложение 4'!G280</f>
        <v>2475807.7399999998</v>
      </c>
      <c r="G84" s="29">
        <f>'приложение 4'!H280</f>
        <v>2478917.7400000002</v>
      </c>
      <c r="H84" s="29">
        <f>'приложение 4'!I280</f>
        <v>2474134.86</v>
      </c>
      <c r="I84" s="193">
        <f t="shared" si="11"/>
        <v>99.807057736413611</v>
      </c>
    </row>
    <row r="85" spans="1:9" ht="45.75" customHeight="1">
      <c r="A85" s="206"/>
      <c r="B85" s="243"/>
      <c r="C85" s="206"/>
      <c r="D85" s="138">
        <v>240</v>
      </c>
      <c r="E85" s="146" t="s">
        <v>118</v>
      </c>
      <c r="F85" s="29">
        <f>'приложение 4'!G282</f>
        <v>494292.26</v>
      </c>
      <c r="G85" s="29">
        <f>'приложение 4'!H282</f>
        <v>491182.26</v>
      </c>
      <c r="H85" s="29">
        <f>'приложение 4'!I282</f>
        <v>313962</v>
      </c>
      <c r="I85" s="193">
        <f t="shared" si="11"/>
        <v>63.919653775769504</v>
      </c>
    </row>
    <row r="86" spans="1:9">
      <c r="A86" s="206">
        <v>59</v>
      </c>
      <c r="B86" s="251" t="s">
        <v>340</v>
      </c>
      <c r="C86" s="206" t="str">
        <f>'приложение 4'!E518</f>
        <v>0340075560</v>
      </c>
      <c r="D86" s="138">
        <v>320</v>
      </c>
      <c r="E86" s="146" t="s">
        <v>164</v>
      </c>
      <c r="F86" s="29">
        <f>'приложение 4'!G520</f>
        <v>668100</v>
      </c>
      <c r="G86" s="29">
        <f>'приложение 4'!H520</f>
        <v>668100</v>
      </c>
      <c r="H86" s="29">
        <f>'приложение 4'!I520</f>
        <v>557040.28</v>
      </c>
      <c r="I86" s="193">
        <f t="shared" si="11"/>
        <v>83.376781918874414</v>
      </c>
    </row>
    <row r="87" spans="1:9" ht="89.25" customHeight="1">
      <c r="A87" s="206"/>
      <c r="B87" s="251"/>
      <c r="C87" s="206"/>
      <c r="D87" s="138">
        <v>240</v>
      </c>
      <c r="E87" s="146" t="s">
        <v>164</v>
      </c>
      <c r="F87" s="29">
        <f>'приложение 4'!G522</f>
        <v>20000</v>
      </c>
      <c r="G87" s="29">
        <f>'приложение 4'!H522</f>
        <v>20000</v>
      </c>
      <c r="H87" s="29">
        <f>'приложение 4'!I522</f>
        <v>0</v>
      </c>
      <c r="I87" s="193">
        <f t="shared" si="11"/>
        <v>0</v>
      </c>
    </row>
    <row r="88" spans="1:9" ht="28.5">
      <c r="A88" s="138">
        <v>60</v>
      </c>
      <c r="B88" s="82" t="s">
        <v>218</v>
      </c>
      <c r="C88" s="54" t="s">
        <v>208</v>
      </c>
      <c r="D88" s="138"/>
      <c r="E88" s="146"/>
      <c r="F88" s="56">
        <f>F89+F93+F96</f>
        <v>8463881.2199999988</v>
      </c>
      <c r="G88" s="56">
        <f>G89+G93+G96</f>
        <v>8463881.2199999988</v>
      </c>
      <c r="H88" s="56">
        <f>H89+H93+H96</f>
        <v>8387924.2199999997</v>
      </c>
      <c r="I88" s="194">
        <f t="shared" si="11"/>
        <v>99.102574835047136</v>
      </c>
    </row>
    <row r="89" spans="1:9" ht="30">
      <c r="A89" s="138">
        <v>61</v>
      </c>
      <c r="B89" s="154" t="s">
        <v>299</v>
      </c>
      <c r="C89" s="152" t="s">
        <v>239</v>
      </c>
      <c r="D89" s="53"/>
      <c r="E89" s="54"/>
      <c r="F89" s="41">
        <f>F90+F92+F91</f>
        <v>8163881.2199999997</v>
      </c>
      <c r="G89" s="41">
        <f t="shared" ref="G89:H89" si="13">G90+G92+G91</f>
        <v>8163881.2199999997</v>
      </c>
      <c r="H89" s="41">
        <f t="shared" si="13"/>
        <v>8091213.2199999997</v>
      </c>
      <c r="I89" s="194">
        <f t="shared" si="11"/>
        <v>99.10988415875066</v>
      </c>
    </row>
    <row r="90" spans="1:9" ht="66.75" customHeight="1">
      <c r="A90" s="138">
        <v>62</v>
      </c>
      <c r="B90" s="139" t="s">
        <v>344</v>
      </c>
      <c r="C90" s="146" t="s">
        <v>300</v>
      </c>
      <c r="D90" s="138">
        <v>610</v>
      </c>
      <c r="E90" s="146" t="s">
        <v>117</v>
      </c>
      <c r="F90" s="55">
        <f>'приложение 4'!G536</f>
        <v>7518001.2199999997</v>
      </c>
      <c r="G90" s="55">
        <f>'приложение 4'!H536</f>
        <v>7518001.2199999997</v>
      </c>
      <c r="H90" s="55">
        <f>'приложение 4'!I536</f>
        <v>7445333.5199999996</v>
      </c>
      <c r="I90" s="193">
        <f t="shared" si="11"/>
        <v>99.033417289070343</v>
      </c>
    </row>
    <row r="91" spans="1:9" ht="31.5" customHeight="1">
      <c r="A91" s="138">
        <v>63</v>
      </c>
      <c r="B91" s="139" t="s">
        <v>449</v>
      </c>
      <c r="C91" s="146" t="s">
        <v>435</v>
      </c>
      <c r="D91" s="138">
        <v>540</v>
      </c>
      <c r="E91" s="146" t="s">
        <v>117</v>
      </c>
      <c r="F91" s="55">
        <f>'приложение 4'!G78</f>
        <v>100000</v>
      </c>
      <c r="G91" s="55">
        <f>'приложение 4'!H78</f>
        <v>100000</v>
      </c>
      <c r="H91" s="55">
        <f>'приложение 4'!I78</f>
        <v>99999.7</v>
      </c>
      <c r="I91" s="193">
        <f t="shared" si="11"/>
        <v>99.999700000000004</v>
      </c>
    </row>
    <row r="92" spans="1:9" ht="60">
      <c r="A92" s="138">
        <v>64</v>
      </c>
      <c r="B92" s="143" t="s">
        <v>359</v>
      </c>
      <c r="C92" s="146" t="s">
        <v>301</v>
      </c>
      <c r="D92" s="138">
        <v>610</v>
      </c>
      <c r="E92" s="146" t="s">
        <v>117</v>
      </c>
      <c r="F92" s="55">
        <f>'приложение 4'!G539</f>
        <v>545880</v>
      </c>
      <c r="G92" s="55">
        <f>'приложение 4'!H539</f>
        <v>545880</v>
      </c>
      <c r="H92" s="55">
        <f>'приложение 4'!I539</f>
        <v>545880</v>
      </c>
      <c r="I92" s="193">
        <f t="shared" si="11"/>
        <v>100</v>
      </c>
    </row>
    <row r="93" spans="1:9" ht="30">
      <c r="A93" s="138">
        <v>65</v>
      </c>
      <c r="B93" s="61" t="s">
        <v>305</v>
      </c>
      <c r="C93" s="152" t="s">
        <v>209</v>
      </c>
      <c r="D93" s="53"/>
      <c r="E93" s="54"/>
      <c r="F93" s="41">
        <f t="shared" ref="F93:G93" si="14">F94+F95</f>
        <v>240000</v>
      </c>
      <c r="G93" s="41">
        <f t="shared" si="14"/>
        <v>240000</v>
      </c>
      <c r="H93" s="41">
        <f t="shared" ref="H93" si="15">H94+H95</f>
        <v>237976</v>
      </c>
      <c r="I93" s="194">
        <f t="shared" si="11"/>
        <v>99.156666666666666</v>
      </c>
    </row>
    <row r="94" spans="1:9" ht="75">
      <c r="A94" s="138">
        <v>66</v>
      </c>
      <c r="B94" s="153" t="s">
        <v>345</v>
      </c>
      <c r="C94" s="146" t="s">
        <v>303</v>
      </c>
      <c r="D94" s="138">
        <v>610</v>
      </c>
      <c r="E94" s="146" t="s">
        <v>117</v>
      </c>
      <c r="F94" s="29">
        <f>'приложение 4'!G543</f>
        <v>20000</v>
      </c>
      <c r="G94" s="29">
        <f>'приложение 4'!H543</f>
        <v>20000</v>
      </c>
      <c r="H94" s="29">
        <f>'приложение 4'!I543</f>
        <v>17976</v>
      </c>
      <c r="I94" s="193">
        <f t="shared" si="11"/>
        <v>89.88000000000001</v>
      </c>
    </row>
    <row r="95" spans="1:9" ht="66" customHeight="1">
      <c r="A95" s="138">
        <v>67</v>
      </c>
      <c r="B95" s="153" t="s">
        <v>429</v>
      </c>
      <c r="C95" s="146" t="s">
        <v>427</v>
      </c>
      <c r="D95" s="138">
        <v>610</v>
      </c>
      <c r="E95" s="146" t="s">
        <v>117</v>
      </c>
      <c r="F95" s="29">
        <f>'приложение 4'!G544</f>
        <v>220000</v>
      </c>
      <c r="G95" s="29">
        <f>'приложение 4'!H544</f>
        <v>220000</v>
      </c>
      <c r="H95" s="29">
        <f>'приложение 4'!I544</f>
        <v>220000</v>
      </c>
      <c r="I95" s="193">
        <f t="shared" si="11"/>
        <v>100</v>
      </c>
    </row>
    <row r="96" spans="1:9" ht="45">
      <c r="A96" s="138">
        <v>68</v>
      </c>
      <c r="B96" s="61" t="s">
        <v>307</v>
      </c>
      <c r="C96" s="152" t="s">
        <v>240</v>
      </c>
      <c r="D96" s="138"/>
      <c r="E96" s="146"/>
      <c r="F96" s="41">
        <f t="shared" ref="F96:H96" si="16">F97</f>
        <v>60000</v>
      </c>
      <c r="G96" s="41">
        <f t="shared" si="16"/>
        <v>60000</v>
      </c>
      <c r="H96" s="41">
        <f t="shared" si="16"/>
        <v>58735</v>
      </c>
      <c r="I96" s="194">
        <f t="shared" si="11"/>
        <v>97.891666666666666</v>
      </c>
    </row>
    <row r="97" spans="1:9" ht="105">
      <c r="A97" s="138">
        <v>69</v>
      </c>
      <c r="B97" s="153" t="s">
        <v>346</v>
      </c>
      <c r="C97" s="146" t="s">
        <v>304</v>
      </c>
      <c r="D97" s="138">
        <v>610</v>
      </c>
      <c r="E97" s="146" t="s">
        <v>117</v>
      </c>
      <c r="F97" s="29">
        <f>'приложение 4'!G550</f>
        <v>60000</v>
      </c>
      <c r="G97" s="29">
        <f>'приложение 4'!H550</f>
        <v>60000</v>
      </c>
      <c r="H97" s="29">
        <f>'приложение 4'!I550</f>
        <v>58735</v>
      </c>
      <c r="I97" s="193">
        <f t="shared" si="11"/>
        <v>97.891666666666666</v>
      </c>
    </row>
    <row r="98" spans="1:9" ht="45" customHeight="1">
      <c r="A98" s="138">
        <v>70</v>
      </c>
      <c r="B98" s="82" t="s">
        <v>219</v>
      </c>
      <c r="C98" s="54" t="s">
        <v>166</v>
      </c>
      <c r="D98" s="53"/>
      <c r="E98" s="54"/>
      <c r="F98" s="56">
        <f t="shared" ref="F98:H98" si="17">F99+F103</f>
        <v>204666659.16999999</v>
      </c>
      <c r="G98" s="56">
        <f t="shared" si="17"/>
        <v>204666659.16999999</v>
      </c>
      <c r="H98" s="56">
        <f t="shared" si="17"/>
        <v>202130372.52000001</v>
      </c>
      <c r="I98" s="194">
        <f t="shared" si="11"/>
        <v>98.760771949722752</v>
      </c>
    </row>
    <row r="99" spans="1:9" ht="60">
      <c r="A99" s="138">
        <v>71</v>
      </c>
      <c r="B99" s="154" t="s">
        <v>26</v>
      </c>
      <c r="C99" s="152" t="s">
        <v>172</v>
      </c>
      <c r="D99" s="53"/>
      <c r="E99" s="54"/>
      <c r="F99" s="41">
        <f t="shared" ref="F99:G99" si="18">F100+F101+F102</f>
        <v>187797145.75999999</v>
      </c>
      <c r="G99" s="41">
        <f t="shared" si="18"/>
        <v>187797145.75999999</v>
      </c>
      <c r="H99" s="41">
        <f t="shared" ref="H99" si="19">H100+H101+H102</f>
        <v>185329803.77000001</v>
      </c>
      <c r="I99" s="194">
        <f t="shared" si="11"/>
        <v>98.686166405769995</v>
      </c>
    </row>
    <row r="100" spans="1:9" ht="120">
      <c r="A100" s="138">
        <v>72</v>
      </c>
      <c r="B100" s="122" t="s">
        <v>399</v>
      </c>
      <c r="C100" s="138" t="str">
        <f>'приложение 4'!E97</f>
        <v>0510076010</v>
      </c>
      <c r="D100" s="138">
        <v>510</v>
      </c>
      <c r="E100" s="146" t="s">
        <v>129</v>
      </c>
      <c r="F100" s="29">
        <f>'приложение 4'!G99</f>
        <v>16163500</v>
      </c>
      <c r="G100" s="29">
        <f>'приложение 4'!H99</f>
        <v>16163500</v>
      </c>
      <c r="H100" s="29">
        <f>'приложение 4'!I99</f>
        <v>16163500</v>
      </c>
      <c r="I100" s="193">
        <f t="shared" si="11"/>
        <v>100</v>
      </c>
    </row>
    <row r="101" spans="1:9" ht="90">
      <c r="A101" s="138">
        <v>73</v>
      </c>
      <c r="B101" s="122" t="s">
        <v>369</v>
      </c>
      <c r="C101" s="138" t="str">
        <f>'приложение 4'!E100</f>
        <v>0510050010</v>
      </c>
      <c r="D101" s="138">
        <v>510</v>
      </c>
      <c r="E101" s="146" t="s">
        <v>129</v>
      </c>
      <c r="F101" s="29">
        <f>'приложение 4'!G102</f>
        <v>17477460</v>
      </c>
      <c r="G101" s="29">
        <f>'приложение 4'!H102</f>
        <v>17477460</v>
      </c>
      <c r="H101" s="29">
        <f>'приложение 4'!I102</f>
        <v>17477460</v>
      </c>
      <c r="I101" s="193">
        <f t="shared" si="11"/>
        <v>100</v>
      </c>
    </row>
    <row r="102" spans="1:9" ht="105">
      <c r="A102" s="138">
        <v>74</v>
      </c>
      <c r="B102" s="122" t="s">
        <v>400</v>
      </c>
      <c r="C102" s="138" t="str">
        <f>'приложение 4'!E106</f>
        <v>0510050030</v>
      </c>
      <c r="D102" s="138">
        <v>540</v>
      </c>
      <c r="E102" s="146" t="s">
        <v>130</v>
      </c>
      <c r="F102" s="29">
        <f>'приложение 4'!G108</f>
        <v>154156185.75999999</v>
      </c>
      <c r="G102" s="29">
        <f>'приложение 4'!H108</f>
        <v>154156185.75999999</v>
      </c>
      <c r="H102" s="29">
        <f>'приложение 4'!I108</f>
        <v>151688843.77000001</v>
      </c>
      <c r="I102" s="193">
        <f t="shared" si="11"/>
        <v>98.399453140439462</v>
      </c>
    </row>
    <row r="103" spans="1:9" ht="30">
      <c r="A103" s="138">
        <v>75</v>
      </c>
      <c r="B103" s="154" t="s">
        <v>13</v>
      </c>
      <c r="C103" s="152" t="s">
        <v>167</v>
      </c>
      <c r="D103" s="53"/>
      <c r="E103" s="54"/>
      <c r="F103" s="41">
        <f>F104+F105+F106+F107+F108</f>
        <v>16869513.41</v>
      </c>
      <c r="G103" s="41">
        <f t="shared" ref="G103:H103" si="20">G104+G105+G106+G107+G108</f>
        <v>16869513.41</v>
      </c>
      <c r="H103" s="41">
        <f t="shared" si="20"/>
        <v>16800568.75</v>
      </c>
      <c r="I103" s="193">
        <f t="shared" si="11"/>
        <v>99.591306172713132</v>
      </c>
    </row>
    <row r="104" spans="1:9">
      <c r="A104" s="206">
        <v>76</v>
      </c>
      <c r="B104" s="250" t="s">
        <v>365</v>
      </c>
      <c r="C104" s="206" t="str">
        <f>'приложение 4'!E18</f>
        <v>0520000210</v>
      </c>
      <c r="D104" s="138">
        <v>120</v>
      </c>
      <c r="E104" s="146" t="s">
        <v>91</v>
      </c>
      <c r="F104" s="29">
        <f>'приложение 4'!G20</f>
        <v>12802457.92</v>
      </c>
      <c r="G104" s="29">
        <f>'приложение 4'!H20</f>
        <v>12802457.92</v>
      </c>
      <c r="H104" s="29">
        <f>'приложение 4'!I20</f>
        <v>12740923.939999999</v>
      </c>
      <c r="I104" s="193">
        <f t="shared" si="11"/>
        <v>99.519358076515346</v>
      </c>
    </row>
    <row r="105" spans="1:9">
      <c r="A105" s="206"/>
      <c r="B105" s="250"/>
      <c r="C105" s="206"/>
      <c r="D105" s="138">
        <v>240</v>
      </c>
      <c r="E105" s="146" t="s">
        <v>91</v>
      </c>
      <c r="F105" s="29">
        <f>'приложение 4'!G22</f>
        <v>1616870</v>
      </c>
      <c r="G105" s="29">
        <f>'приложение 4'!H22</f>
        <v>1616870</v>
      </c>
      <c r="H105" s="29">
        <f>'приложение 4'!I22</f>
        <v>1614518.52</v>
      </c>
      <c r="I105" s="193">
        <f t="shared" si="11"/>
        <v>99.854565920574927</v>
      </c>
    </row>
    <row r="106" spans="1:9">
      <c r="A106" s="206"/>
      <c r="B106" s="250"/>
      <c r="C106" s="206"/>
      <c r="D106" s="138">
        <v>830</v>
      </c>
      <c r="E106" s="146" t="s">
        <v>91</v>
      </c>
      <c r="F106" s="29">
        <f>'приложение 4'!G24</f>
        <v>2500</v>
      </c>
      <c r="G106" s="29">
        <f>'приложение 4'!H24</f>
        <v>2500</v>
      </c>
      <c r="H106" s="29">
        <f>'приложение 4'!I24</f>
        <v>0</v>
      </c>
      <c r="I106" s="193">
        <f t="shared" si="11"/>
        <v>0</v>
      </c>
    </row>
    <row r="107" spans="1:9">
      <c r="A107" s="206"/>
      <c r="B107" s="250"/>
      <c r="C107" s="206"/>
      <c r="D107" s="138">
        <v>850</v>
      </c>
      <c r="E107" s="146" t="s">
        <v>91</v>
      </c>
      <c r="F107" s="29">
        <f>'приложение 4'!G24</f>
        <v>2500</v>
      </c>
      <c r="G107" s="29">
        <f>'приложение 4'!H24</f>
        <v>2500</v>
      </c>
      <c r="H107" s="29">
        <f>'приложение 4'!I24</f>
        <v>0</v>
      </c>
      <c r="I107" s="193">
        <f t="shared" si="11"/>
        <v>0</v>
      </c>
    </row>
    <row r="108" spans="1:9" ht="75">
      <c r="A108" s="138">
        <v>77</v>
      </c>
      <c r="B108" s="153" t="s">
        <v>366</v>
      </c>
      <c r="C108" s="146" t="str">
        <f>'приложение 4'!E26</f>
        <v>0520000220</v>
      </c>
      <c r="D108" s="138">
        <v>120</v>
      </c>
      <c r="E108" s="146" t="s">
        <v>91</v>
      </c>
      <c r="F108" s="29">
        <f>'приложение 4'!G28</f>
        <v>2445185.4900000002</v>
      </c>
      <c r="G108" s="29">
        <f>'приложение 4'!H28</f>
        <v>2445185.4900000002</v>
      </c>
      <c r="H108" s="29">
        <f>'приложение 4'!I28</f>
        <v>2445126.29</v>
      </c>
      <c r="I108" s="193">
        <f t="shared" si="11"/>
        <v>99.997578915781958</v>
      </c>
    </row>
    <row r="109" spans="1:9" ht="28.5">
      <c r="A109" s="138">
        <v>78</v>
      </c>
      <c r="B109" s="82" t="s">
        <v>220</v>
      </c>
      <c r="C109" s="54" t="s">
        <v>176</v>
      </c>
      <c r="D109" s="53"/>
      <c r="E109" s="54"/>
      <c r="F109" s="56">
        <f>F110+F116+F120+F125</f>
        <v>5725476</v>
      </c>
      <c r="G109" s="56">
        <f>G110+G116+G120+G125</f>
        <v>5725476</v>
      </c>
      <c r="H109" s="56">
        <f>H110+H116+H120+H125</f>
        <v>5303338.95</v>
      </c>
      <c r="I109" s="194">
        <f t="shared" si="11"/>
        <v>92.627040092387077</v>
      </c>
    </row>
    <row r="110" spans="1:9" ht="45">
      <c r="A110" s="138">
        <v>79</v>
      </c>
      <c r="B110" s="154" t="s">
        <v>381</v>
      </c>
      <c r="C110" s="152" t="s">
        <v>177</v>
      </c>
      <c r="D110" s="53"/>
      <c r="E110" s="54"/>
      <c r="F110" s="41">
        <f>F111+F114+F115</f>
        <v>1633400</v>
      </c>
      <c r="G110" s="41">
        <f t="shared" ref="G110:H110" si="21">G111+G114+G115</f>
        <v>1633400</v>
      </c>
      <c r="H110" s="41">
        <f t="shared" si="21"/>
        <v>1275900</v>
      </c>
      <c r="I110" s="194">
        <f t="shared" si="11"/>
        <v>78.113138239255548</v>
      </c>
    </row>
    <row r="111" spans="1:9" ht="27.75" customHeight="1">
      <c r="A111" s="206">
        <v>80</v>
      </c>
      <c r="B111" s="207" t="s">
        <v>363</v>
      </c>
      <c r="C111" s="206" t="s">
        <v>281</v>
      </c>
      <c r="D111" s="206">
        <v>240</v>
      </c>
      <c r="E111" s="222" t="s">
        <v>93</v>
      </c>
      <c r="F111" s="260">
        <f>'приложение 4'!G397</f>
        <v>755000</v>
      </c>
      <c r="G111" s="260">
        <f>'приложение 4'!H397</f>
        <v>755000</v>
      </c>
      <c r="H111" s="260">
        <f>'приложение 4'!I397</f>
        <v>557000</v>
      </c>
      <c r="I111" s="208">
        <f t="shared" si="11"/>
        <v>73.774834437086085</v>
      </c>
    </row>
    <row r="112" spans="1:9" ht="29.25" customHeight="1">
      <c r="A112" s="206"/>
      <c r="B112" s="207"/>
      <c r="C112" s="206"/>
      <c r="D112" s="206"/>
      <c r="E112" s="222"/>
      <c r="F112" s="261"/>
      <c r="G112" s="261"/>
      <c r="H112" s="261"/>
      <c r="I112" s="210"/>
    </row>
    <row r="113" spans="1:9" ht="26.25" customHeight="1">
      <c r="A113" s="206"/>
      <c r="B113" s="207"/>
      <c r="C113" s="206"/>
      <c r="D113" s="206"/>
      <c r="E113" s="222"/>
      <c r="F113" s="261"/>
      <c r="G113" s="261"/>
      <c r="H113" s="261"/>
      <c r="I113" s="209"/>
    </row>
    <row r="114" spans="1:9" ht="60">
      <c r="A114" s="138">
        <v>81</v>
      </c>
      <c r="B114" s="139" t="s">
        <v>364</v>
      </c>
      <c r="C114" s="146" t="s">
        <v>282</v>
      </c>
      <c r="D114" s="138">
        <v>240</v>
      </c>
      <c r="E114" s="146" t="s">
        <v>93</v>
      </c>
      <c r="F114" s="55">
        <f>'приложение 4'!G400</f>
        <v>645000</v>
      </c>
      <c r="G114" s="55">
        <f>'приложение 4'!H400</f>
        <v>645000</v>
      </c>
      <c r="H114" s="55">
        <f>'приложение 4'!I400</f>
        <v>485500</v>
      </c>
      <c r="I114" s="193">
        <f t="shared" si="11"/>
        <v>75.271317829457359</v>
      </c>
    </row>
    <row r="115" spans="1:9" ht="60.6" customHeight="1">
      <c r="A115" s="138">
        <v>82</v>
      </c>
      <c r="B115" s="139" t="s">
        <v>534</v>
      </c>
      <c r="C115" s="146" t="s">
        <v>532</v>
      </c>
      <c r="D115" s="138">
        <v>540</v>
      </c>
      <c r="E115" s="146" t="s">
        <v>130</v>
      </c>
      <c r="F115" s="55">
        <f>'приложение 4'!G111</f>
        <v>233400</v>
      </c>
      <c r="G115" s="55">
        <f>'приложение 4'!H111</f>
        <v>233400</v>
      </c>
      <c r="H115" s="55">
        <f>'приложение 4'!I111</f>
        <v>233400</v>
      </c>
      <c r="I115" s="193">
        <f t="shared" si="11"/>
        <v>100</v>
      </c>
    </row>
    <row r="116" spans="1:9" ht="13.9" customHeight="1">
      <c r="A116" s="206">
        <v>83</v>
      </c>
      <c r="B116" s="252" t="s">
        <v>289</v>
      </c>
      <c r="C116" s="249" t="s">
        <v>191</v>
      </c>
      <c r="D116" s="254"/>
      <c r="E116" s="254"/>
      <c r="F116" s="262">
        <f>F119</f>
        <v>2823036</v>
      </c>
      <c r="G116" s="262">
        <f t="shared" ref="G116:H116" si="22">G119</f>
        <v>2823036</v>
      </c>
      <c r="H116" s="262">
        <f t="shared" si="22"/>
        <v>2818036</v>
      </c>
      <c r="I116" s="211">
        <f t="shared" si="11"/>
        <v>99.822885715945532</v>
      </c>
    </row>
    <row r="117" spans="1:9" ht="13.9" customHeight="1">
      <c r="A117" s="206"/>
      <c r="B117" s="252"/>
      <c r="C117" s="249"/>
      <c r="D117" s="254"/>
      <c r="E117" s="254"/>
      <c r="F117" s="254"/>
      <c r="G117" s="254"/>
      <c r="H117" s="254"/>
      <c r="I117" s="212"/>
    </row>
    <row r="118" spans="1:9" ht="13.9" customHeight="1">
      <c r="A118" s="206"/>
      <c r="B118" s="252"/>
      <c r="C118" s="249"/>
      <c r="D118" s="254"/>
      <c r="E118" s="254"/>
      <c r="F118" s="254"/>
      <c r="G118" s="254"/>
      <c r="H118" s="254"/>
      <c r="I118" s="213"/>
    </row>
    <row r="119" spans="1:9" ht="60" customHeight="1">
      <c r="A119" s="138">
        <v>84</v>
      </c>
      <c r="B119" s="139" t="s">
        <v>535</v>
      </c>
      <c r="C119" s="147" t="s">
        <v>500</v>
      </c>
      <c r="D119" s="138">
        <v>540</v>
      </c>
      <c r="E119" s="146" t="s">
        <v>130</v>
      </c>
      <c r="F119" s="29">
        <f>'приложение 4'!G115</f>
        <v>2823036</v>
      </c>
      <c r="G119" s="29">
        <f>'приложение 4'!H115</f>
        <v>2823036</v>
      </c>
      <c r="H119" s="29">
        <f>'приложение 4'!I115</f>
        <v>2818036</v>
      </c>
      <c r="I119" s="193">
        <f t="shared" si="11"/>
        <v>99.822885715945532</v>
      </c>
    </row>
    <row r="120" spans="1:9" ht="30">
      <c r="A120" s="138">
        <v>85</v>
      </c>
      <c r="B120" s="61" t="s">
        <v>13</v>
      </c>
      <c r="C120" s="54" t="s">
        <v>382</v>
      </c>
      <c r="D120" s="138"/>
      <c r="E120" s="146"/>
      <c r="F120" s="29">
        <f t="shared" ref="F120:H120" si="23">F121+F122+F123+F124</f>
        <v>1069040</v>
      </c>
      <c r="G120" s="29">
        <f t="shared" si="23"/>
        <v>1069040</v>
      </c>
      <c r="H120" s="29">
        <f t="shared" si="23"/>
        <v>1009413.58</v>
      </c>
      <c r="I120" s="193">
        <f t="shared" si="11"/>
        <v>94.422433211105286</v>
      </c>
    </row>
    <row r="121" spans="1:9" ht="93" customHeight="1">
      <c r="A121" s="138">
        <v>86</v>
      </c>
      <c r="B121" s="145" t="s">
        <v>388</v>
      </c>
      <c r="C121" s="146" t="str">
        <f>'приложение 4'!E287</f>
        <v>0630001110</v>
      </c>
      <c r="D121" s="138">
        <v>310</v>
      </c>
      <c r="E121" s="146" t="s">
        <v>125</v>
      </c>
      <c r="F121" s="29">
        <f>'приложение 4'!G289</f>
        <v>880000</v>
      </c>
      <c r="G121" s="29">
        <f>'приложение 4'!H289</f>
        <v>880000</v>
      </c>
      <c r="H121" s="29">
        <f>'приложение 4'!I289</f>
        <v>870373.58</v>
      </c>
      <c r="I121" s="193">
        <f t="shared" si="11"/>
        <v>98.906088636363634</v>
      </c>
    </row>
    <row r="122" spans="1:9" ht="78" customHeight="1">
      <c r="A122" s="138">
        <v>87</v>
      </c>
      <c r="B122" s="153" t="s">
        <v>395</v>
      </c>
      <c r="C122" s="146" t="str">
        <f>'приложение 4'!E317</f>
        <v>0630080010</v>
      </c>
      <c r="D122" s="138">
        <v>310</v>
      </c>
      <c r="E122" s="146" t="s">
        <v>127</v>
      </c>
      <c r="F122" s="29">
        <f>'приложение 4'!G319</f>
        <v>95000</v>
      </c>
      <c r="G122" s="29">
        <f>'приложение 4'!H319</f>
        <v>95000</v>
      </c>
      <c r="H122" s="29">
        <f>'приложение 4'!I319</f>
        <v>45000</v>
      </c>
      <c r="I122" s="193">
        <f t="shared" si="11"/>
        <v>47.368421052631575</v>
      </c>
    </row>
    <row r="123" spans="1:9" ht="27" customHeight="1">
      <c r="A123" s="206">
        <v>88</v>
      </c>
      <c r="B123" s="264" t="s">
        <v>392</v>
      </c>
      <c r="C123" s="222" t="str">
        <f>'приложение 4'!E320</f>
        <v>0630080020</v>
      </c>
      <c r="D123" s="138">
        <v>320</v>
      </c>
      <c r="E123" s="146" t="s">
        <v>127</v>
      </c>
      <c r="F123" s="29">
        <f>'приложение 4'!G322</f>
        <v>87400</v>
      </c>
      <c r="G123" s="29">
        <f>'приложение 4'!H322</f>
        <v>87400</v>
      </c>
      <c r="H123" s="29">
        <f>'приложение 4'!I322</f>
        <v>87400</v>
      </c>
      <c r="I123" s="193">
        <f t="shared" si="11"/>
        <v>100</v>
      </c>
    </row>
    <row r="124" spans="1:9" ht="30" customHeight="1">
      <c r="A124" s="206"/>
      <c r="B124" s="264"/>
      <c r="C124" s="225"/>
      <c r="D124" s="138">
        <v>240</v>
      </c>
      <c r="E124" s="146" t="s">
        <v>127</v>
      </c>
      <c r="F124" s="29">
        <f>'приложение 4'!G324</f>
        <v>6640</v>
      </c>
      <c r="G124" s="29">
        <f>'приложение 4'!H324</f>
        <v>6640</v>
      </c>
      <c r="H124" s="29">
        <f>'приложение 4'!I324</f>
        <v>6640</v>
      </c>
      <c r="I124" s="193">
        <f t="shared" si="11"/>
        <v>100</v>
      </c>
    </row>
    <row r="125" spans="1:9">
      <c r="A125" s="138">
        <v>89</v>
      </c>
      <c r="B125" s="154" t="s">
        <v>38</v>
      </c>
      <c r="C125" s="152" t="s">
        <v>291</v>
      </c>
      <c r="D125" s="53"/>
      <c r="E125" s="54"/>
      <c r="F125" s="41">
        <f t="shared" ref="F125:H125" si="24">F126</f>
        <v>200000</v>
      </c>
      <c r="G125" s="41">
        <f t="shared" si="24"/>
        <v>200000</v>
      </c>
      <c r="H125" s="41">
        <f t="shared" si="24"/>
        <v>199989.37</v>
      </c>
      <c r="I125" s="194">
        <f t="shared" si="11"/>
        <v>99.99468499999999</v>
      </c>
    </row>
    <row r="126" spans="1:9">
      <c r="A126" s="206">
        <v>90</v>
      </c>
      <c r="B126" s="207" t="s">
        <v>284</v>
      </c>
      <c r="C126" s="206" t="s">
        <v>260</v>
      </c>
      <c r="D126" s="206">
        <v>540</v>
      </c>
      <c r="E126" s="222" t="s">
        <v>102</v>
      </c>
      <c r="F126" s="259">
        <f>'приложение 4'!G55</f>
        <v>200000</v>
      </c>
      <c r="G126" s="259">
        <f>'приложение 4'!H55</f>
        <v>200000</v>
      </c>
      <c r="H126" s="259">
        <f>'приложение 4'!I55</f>
        <v>199989.37</v>
      </c>
      <c r="I126" s="208">
        <f t="shared" si="11"/>
        <v>99.99468499999999</v>
      </c>
    </row>
    <row r="127" spans="1:9">
      <c r="A127" s="206"/>
      <c r="B127" s="207"/>
      <c r="C127" s="206"/>
      <c r="D127" s="206"/>
      <c r="E127" s="222"/>
      <c r="F127" s="206"/>
      <c r="G127" s="206"/>
      <c r="H127" s="206"/>
      <c r="I127" s="210"/>
    </row>
    <row r="128" spans="1:9">
      <c r="A128" s="206"/>
      <c r="B128" s="207"/>
      <c r="C128" s="206"/>
      <c r="D128" s="206"/>
      <c r="E128" s="222"/>
      <c r="F128" s="206"/>
      <c r="G128" s="206"/>
      <c r="H128" s="206"/>
      <c r="I128" s="209"/>
    </row>
    <row r="129" spans="1:9" ht="57">
      <c r="A129" s="138">
        <v>91</v>
      </c>
      <c r="B129" s="82" t="s">
        <v>221</v>
      </c>
      <c r="C129" s="54" t="s">
        <v>169</v>
      </c>
      <c r="D129" s="138"/>
      <c r="E129" s="146"/>
      <c r="F129" s="56">
        <f>F130+F133+F134+F135</f>
        <v>82189529.230000004</v>
      </c>
      <c r="G129" s="56">
        <f>G130+G133+G134+G135</f>
        <v>82189529.230000004</v>
      </c>
      <c r="H129" s="56">
        <f>H130+H133+H134+H135</f>
        <v>80852386.359999999</v>
      </c>
      <c r="I129" s="194">
        <f t="shared" si="11"/>
        <v>98.373098273554859</v>
      </c>
    </row>
    <row r="130" spans="1:9">
      <c r="A130" s="138">
        <v>92</v>
      </c>
      <c r="B130" s="154" t="s">
        <v>308</v>
      </c>
      <c r="C130" s="152" t="s">
        <v>170</v>
      </c>
      <c r="D130" s="53"/>
      <c r="E130" s="54"/>
      <c r="F130" s="41">
        <f>F131+F132</f>
        <v>8157229.2300000004</v>
      </c>
      <c r="G130" s="41">
        <f t="shared" ref="G130:H130" si="25">G131+G132</f>
        <v>8157229.2300000004</v>
      </c>
      <c r="H130" s="41">
        <f t="shared" si="25"/>
        <v>8157229.2300000004</v>
      </c>
      <c r="I130" s="194">
        <f t="shared" si="11"/>
        <v>100</v>
      </c>
    </row>
    <row r="131" spans="1:9" ht="63.75" customHeight="1">
      <c r="A131" s="138">
        <v>93</v>
      </c>
      <c r="B131" s="139" t="str">
        <f>'приложение 4'!B66</f>
        <v>Субсидия бюджетам муниципальных образований Мотыгинского района на реализацию мероприятий по капитальному ремонту, реконструкции, модернизации и строительству объектов водоснабжения коммунальной инфраструктуры</v>
      </c>
      <c r="C131" s="147" t="str">
        <f>'приложение 4'!E66</f>
        <v>0710085010</v>
      </c>
      <c r="D131" s="138">
        <v>520</v>
      </c>
      <c r="E131" s="146" t="s">
        <v>403</v>
      </c>
      <c r="F131" s="29">
        <f>'приложение 4'!G68</f>
        <v>2428963.23</v>
      </c>
      <c r="G131" s="29">
        <f>'приложение 4'!H68</f>
        <v>2428963.23</v>
      </c>
      <c r="H131" s="29">
        <f>'приложение 4'!I68</f>
        <v>2428963.23</v>
      </c>
      <c r="I131" s="193">
        <f t="shared" si="11"/>
        <v>100</v>
      </c>
    </row>
    <row r="132" spans="1:9" ht="60.75" customHeight="1">
      <c r="A132" s="138">
        <v>94</v>
      </c>
      <c r="B132" s="139" t="s">
        <v>553</v>
      </c>
      <c r="C132" s="146" t="str">
        <f>'приложение 4'!E71</f>
        <v>0710085013</v>
      </c>
      <c r="D132" s="138">
        <v>520</v>
      </c>
      <c r="E132" s="146" t="s">
        <v>403</v>
      </c>
      <c r="F132" s="29">
        <f>'приложение 4'!G71</f>
        <v>5728266</v>
      </c>
      <c r="G132" s="29">
        <f>'приложение 4'!H71</f>
        <v>5728266</v>
      </c>
      <c r="H132" s="29">
        <f>'приложение 4'!I71</f>
        <v>5728266</v>
      </c>
      <c r="I132" s="193">
        <f t="shared" si="11"/>
        <v>100</v>
      </c>
    </row>
    <row r="133" spans="1:9" ht="30">
      <c r="A133" s="138">
        <v>95</v>
      </c>
      <c r="B133" s="154" t="s">
        <v>309</v>
      </c>
      <c r="C133" s="152" t="s">
        <v>241</v>
      </c>
      <c r="D133" s="53"/>
      <c r="E133" s="54"/>
      <c r="F133" s="41">
        <v>0</v>
      </c>
      <c r="G133" s="41">
        <v>0</v>
      </c>
      <c r="H133" s="41">
        <v>0</v>
      </c>
      <c r="I133" s="193"/>
    </row>
    <row r="134" spans="1:9" ht="30">
      <c r="A134" s="138">
        <v>96</v>
      </c>
      <c r="B134" s="154" t="s">
        <v>136</v>
      </c>
      <c r="C134" s="152" t="s">
        <v>171</v>
      </c>
      <c r="D134" s="164"/>
      <c r="E134" s="165"/>
      <c r="F134" s="29">
        <v>0</v>
      </c>
      <c r="G134" s="29">
        <v>0</v>
      </c>
      <c r="H134" s="29">
        <v>0</v>
      </c>
      <c r="I134" s="193"/>
    </row>
    <row r="135" spans="1:9">
      <c r="A135" s="138">
        <v>97</v>
      </c>
      <c r="B135" s="79" t="s">
        <v>137</v>
      </c>
      <c r="C135" s="152" t="s">
        <v>179</v>
      </c>
      <c r="D135" s="53"/>
      <c r="E135" s="54"/>
      <c r="F135" s="41">
        <f>F136+F137</f>
        <v>74032300</v>
      </c>
      <c r="G135" s="41">
        <f t="shared" ref="G135:H135" si="26">G136+G137</f>
        <v>74032300</v>
      </c>
      <c r="H135" s="41">
        <f t="shared" si="26"/>
        <v>72695157.129999995</v>
      </c>
      <c r="I135" s="194">
        <f t="shared" si="11"/>
        <v>98.193838540745048</v>
      </c>
    </row>
    <row r="136" spans="1:9" ht="45">
      <c r="A136" s="138">
        <v>98</v>
      </c>
      <c r="B136" s="143" t="s">
        <v>285</v>
      </c>
      <c r="C136" s="138" t="str">
        <f>'приложение 4'!E259</f>
        <v>0790075770</v>
      </c>
      <c r="D136" s="138">
        <v>810</v>
      </c>
      <c r="E136" s="146" t="s">
        <v>111</v>
      </c>
      <c r="F136" s="29">
        <f>'приложение 4'!G261</f>
        <v>28372200</v>
      </c>
      <c r="G136" s="29">
        <f>'приложение 4'!H261</f>
        <v>28372200</v>
      </c>
      <c r="H136" s="29">
        <f>'приложение 4'!I261</f>
        <v>28372200</v>
      </c>
      <c r="I136" s="193">
        <f t="shared" si="11"/>
        <v>100</v>
      </c>
    </row>
    <row r="137" spans="1:9" ht="30">
      <c r="A137" s="138">
        <v>99</v>
      </c>
      <c r="B137" s="143" t="s">
        <v>268</v>
      </c>
      <c r="C137" s="138" t="str">
        <f>'приложение 4'!E262</f>
        <v>0790075700</v>
      </c>
      <c r="D137" s="138">
        <v>810</v>
      </c>
      <c r="E137" s="146" t="s">
        <v>111</v>
      </c>
      <c r="F137" s="29">
        <f>'приложение 4'!G264</f>
        <v>45660100</v>
      </c>
      <c r="G137" s="29">
        <f>'приложение 4'!H264</f>
        <v>45660100</v>
      </c>
      <c r="H137" s="29">
        <f>'приложение 4'!I264</f>
        <v>44322957.130000003</v>
      </c>
      <c r="I137" s="193">
        <f t="shared" si="11"/>
        <v>97.071528818377544</v>
      </c>
    </row>
    <row r="138" spans="1:9" ht="57">
      <c r="A138" s="138">
        <v>100</v>
      </c>
      <c r="B138" s="75" t="s">
        <v>222</v>
      </c>
      <c r="C138" s="54" t="s">
        <v>185</v>
      </c>
      <c r="D138" s="138"/>
      <c r="E138" s="146"/>
      <c r="F138" s="56">
        <f>F139+F146</f>
        <v>9738241.879999999</v>
      </c>
      <c r="G138" s="56">
        <f>G139+G146</f>
        <v>9738241.879999999</v>
      </c>
      <c r="H138" s="56">
        <f>H139+H146</f>
        <v>9443934.2699999996</v>
      </c>
      <c r="I138" s="194">
        <f t="shared" si="11"/>
        <v>96.977815773867391</v>
      </c>
    </row>
    <row r="139" spans="1:9" ht="30">
      <c r="A139" s="138">
        <v>101</v>
      </c>
      <c r="B139" s="76" t="s">
        <v>292</v>
      </c>
      <c r="C139" s="152" t="s">
        <v>186</v>
      </c>
      <c r="D139" s="53"/>
      <c r="E139" s="54"/>
      <c r="F139" s="41">
        <f>F140+F141+F142+F144+F143+F145</f>
        <v>9628241.879999999</v>
      </c>
      <c r="G139" s="41">
        <f>G140+G141+G142+G144+G143+G145</f>
        <v>9628241.879999999</v>
      </c>
      <c r="H139" s="41">
        <f>H140+H141+H142+H144+H143+H145</f>
        <v>9413934.2699999996</v>
      </c>
      <c r="I139" s="194">
        <f t="shared" si="11"/>
        <v>97.774177127340721</v>
      </c>
    </row>
    <row r="140" spans="1:9">
      <c r="A140" s="206">
        <v>102</v>
      </c>
      <c r="B140" s="242" t="s">
        <v>329</v>
      </c>
      <c r="C140" s="206" t="str">
        <f>'приложение 4'!E338</f>
        <v>0810000610</v>
      </c>
      <c r="D140" s="138">
        <v>110</v>
      </c>
      <c r="E140" s="146" t="s">
        <v>378</v>
      </c>
      <c r="F140" s="29">
        <f>'приложение 4'!G339</f>
        <v>5794060.8799999999</v>
      </c>
      <c r="G140" s="29">
        <f>'приложение 4'!H339</f>
        <v>5794060.8799999999</v>
      </c>
      <c r="H140" s="29">
        <f>'приложение 4'!I339</f>
        <v>5776972.1900000004</v>
      </c>
      <c r="I140" s="193">
        <f t="shared" ref="I140:I203" si="27">H140/G140*100</f>
        <v>99.705065404835722</v>
      </c>
    </row>
    <row r="141" spans="1:9" ht="19.5" customHeight="1">
      <c r="A141" s="206"/>
      <c r="B141" s="242"/>
      <c r="C141" s="206"/>
      <c r="D141" s="138">
        <v>240</v>
      </c>
      <c r="E141" s="146" t="s">
        <v>378</v>
      </c>
      <c r="F141" s="29">
        <f>'приложение 4'!G341</f>
        <v>849881</v>
      </c>
      <c r="G141" s="29">
        <f>'приложение 4'!H341</f>
        <v>849881</v>
      </c>
      <c r="H141" s="29">
        <f>'приложение 4'!I341</f>
        <v>846162.08</v>
      </c>
      <c r="I141" s="193">
        <f t="shared" si="27"/>
        <v>99.562418738623407</v>
      </c>
    </row>
    <row r="142" spans="1:9" ht="45.75" customHeight="1">
      <c r="A142" s="206"/>
      <c r="B142" s="242"/>
      <c r="C142" s="206"/>
      <c r="D142" s="138">
        <v>850</v>
      </c>
      <c r="E142" s="146" t="s">
        <v>378</v>
      </c>
      <c r="F142" s="29">
        <f>'приложение 4'!G343</f>
        <v>500</v>
      </c>
      <c r="G142" s="29">
        <f>'приложение 4'!H343</f>
        <v>500</v>
      </c>
      <c r="H142" s="29">
        <f>'приложение 4'!I343</f>
        <v>0</v>
      </c>
      <c r="I142" s="193">
        <f t="shared" si="27"/>
        <v>0</v>
      </c>
    </row>
    <row r="143" spans="1:9" ht="45">
      <c r="A143" s="138">
        <v>103</v>
      </c>
      <c r="B143" s="148" t="s">
        <v>446</v>
      </c>
      <c r="C143" s="146" t="s">
        <v>443</v>
      </c>
      <c r="D143" s="138">
        <v>240</v>
      </c>
      <c r="E143" s="146" t="s">
        <v>378</v>
      </c>
      <c r="F143" s="29">
        <f>'приложение 4'!G191</f>
        <v>190000</v>
      </c>
      <c r="G143" s="29">
        <f>'приложение 4'!H191</f>
        <v>190000</v>
      </c>
      <c r="H143" s="29">
        <f>'приложение 4'!I191</f>
        <v>0</v>
      </c>
      <c r="I143" s="193">
        <f t="shared" si="27"/>
        <v>0</v>
      </c>
    </row>
    <row r="144" spans="1:9" ht="72.599999999999994" customHeight="1">
      <c r="A144" s="138">
        <v>104</v>
      </c>
      <c r="B144" s="153" t="s">
        <v>529</v>
      </c>
      <c r="C144" s="146" t="s">
        <v>509</v>
      </c>
      <c r="D144" s="138">
        <v>540</v>
      </c>
      <c r="E144" s="146" t="s">
        <v>378</v>
      </c>
      <c r="F144" s="29">
        <f>'приложение 4'!G46</f>
        <v>2701800</v>
      </c>
      <c r="G144" s="29">
        <f>'приложение 4'!H46</f>
        <v>2701800</v>
      </c>
      <c r="H144" s="29">
        <f>'приложение 4'!I46</f>
        <v>2701800</v>
      </c>
      <c r="I144" s="193">
        <f t="shared" si="27"/>
        <v>100</v>
      </c>
    </row>
    <row r="145" spans="1:9" ht="30">
      <c r="A145" s="138">
        <v>105</v>
      </c>
      <c r="B145" s="153" t="s">
        <v>287</v>
      </c>
      <c r="C145" s="146" t="s">
        <v>288</v>
      </c>
      <c r="D145" s="138">
        <v>240</v>
      </c>
      <c r="E145" s="146" t="s">
        <v>378</v>
      </c>
      <c r="F145" s="29">
        <f>'приложение 4'!G344</f>
        <v>92000</v>
      </c>
      <c r="G145" s="29">
        <f>'приложение 4'!H344</f>
        <v>92000</v>
      </c>
      <c r="H145" s="29">
        <f>'приложение 4'!I344</f>
        <v>89000</v>
      </c>
      <c r="I145" s="193">
        <f t="shared" si="27"/>
        <v>96.739130434782609</v>
      </c>
    </row>
    <row r="146" spans="1:9" ht="30">
      <c r="A146" s="138">
        <v>106</v>
      </c>
      <c r="B146" s="61" t="s">
        <v>401</v>
      </c>
      <c r="C146" s="152" t="s">
        <v>293</v>
      </c>
      <c r="D146" s="141"/>
      <c r="E146" s="152"/>
      <c r="F146" s="41">
        <f t="shared" ref="F146:G146" si="28">F147+F148+F149</f>
        <v>110000</v>
      </c>
      <c r="G146" s="41">
        <f t="shared" si="28"/>
        <v>110000</v>
      </c>
      <c r="H146" s="41">
        <f t="shared" ref="H146" si="29">H147+H148+H149</f>
        <v>30000</v>
      </c>
      <c r="I146" s="193">
        <f t="shared" si="27"/>
        <v>27.27272727272727</v>
      </c>
    </row>
    <row r="147" spans="1:9" ht="34.5" customHeight="1">
      <c r="A147" s="138">
        <v>107</v>
      </c>
      <c r="B147" s="148" t="s">
        <v>438</v>
      </c>
      <c r="C147" s="146" t="s">
        <v>439</v>
      </c>
      <c r="D147" s="138">
        <v>240</v>
      </c>
      <c r="E147" s="146" t="s">
        <v>378</v>
      </c>
      <c r="F147" s="29">
        <f>'приложение 4'!G195</f>
        <v>50000</v>
      </c>
      <c r="G147" s="29">
        <f>'приложение 4'!H195</f>
        <v>50000</v>
      </c>
      <c r="H147" s="29">
        <f>'приложение 4'!I195</f>
        <v>0</v>
      </c>
      <c r="I147" s="193">
        <f t="shared" si="27"/>
        <v>0</v>
      </c>
    </row>
    <row r="148" spans="1:9" ht="35.25" customHeight="1">
      <c r="A148" s="138">
        <v>108</v>
      </c>
      <c r="B148" s="153" t="s">
        <v>447</v>
      </c>
      <c r="C148" s="146" t="s">
        <v>442</v>
      </c>
      <c r="D148" s="138">
        <v>240</v>
      </c>
      <c r="E148" s="146" t="s">
        <v>378</v>
      </c>
      <c r="F148" s="29">
        <f>'приложение 4'!G198</f>
        <v>30000</v>
      </c>
      <c r="G148" s="29">
        <f>'приложение 4'!H198</f>
        <v>30000</v>
      </c>
      <c r="H148" s="29">
        <f>'приложение 4'!I198</f>
        <v>0</v>
      </c>
      <c r="I148" s="193">
        <f t="shared" si="27"/>
        <v>0</v>
      </c>
    </row>
    <row r="149" spans="1:9" ht="22.5" customHeight="1">
      <c r="A149" s="138">
        <v>109</v>
      </c>
      <c r="B149" s="153" t="s">
        <v>448</v>
      </c>
      <c r="C149" s="146" t="s">
        <v>444</v>
      </c>
      <c r="D149" s="138">
        <v>240</v>
      </c>
      <c r="E149" s="146" t="s">
        <v>378</v>
      </c>
      <c r="F149" s="29">
        <f>'приложение 4'!G201</f>
        <v>30000</v>
      </c>
      <c r="G149" s="29">
        <f>'приложение 4'!H201</f>
        <v>30000</v>
      </c>
      <c r="H149" s="29">
        <f>'приложение 4'!I201</f>
        <v>30000</v>
      </c>
      <c r="I149" s="193">
        <f t="shared" si="27"/>
        <v>100</v>
      </c>
    </row>
    <row r="150" spans="1:9" ht="42.75">
      <c r="A150" s="138">
        <v>110</v>
      </c>
      <c r="B150" s="75" t="s">
        <v>379</v>
      </c>
      <c r="C150" s="54" t="s">
        <v>178</v>
      </c>
      <c r="D150" s="53"/>
      <c r="E150" s="54"/>
      <c r="F150" s="56">
        <f>F151+F157+F154</f>
        <v>2921040</v>
      </c>
      <c r="G150" s="56">
        <f t="shared" ref="G150:H150" si="30">G151+G157+G154</f>
        <v>2921040</v>
      </c>
      <c r="H150" s="56">
        <f t="shared" si="30"/>
        <v>2349422.75</v>
      </c>
      <c r="I150" s="194">
        <f t="shared" si="27"/>
        <v>80.431036548626508</v>
      </c>
    </row>
    <row r="151" spans="1:9" ht="28.5">
      <c r="A151" s="138">
        <v>111</v>
      </c>
      <c r="B151" s="75" t="s">
        <v>481</v>
      </c>
      <c r="C151" s="54" t="s">
        <v>380</v>
      </c>
      <c r="D151" s="53"/>
      <c r="E151" s="54"/>
      <c r="F151" s="56">
        <f>F152+F153</f>
        <v>1092200</v>
      </c>
      <c r="G151" s="56">
        <f t="shared" ref="G151:H151" si="31">G152+G153</f>
        <v>1092200</v>
      </c>
      <c r="H151" s="56">
        <f t="shared" si="31"/>
        <v>1031650</v>
      </c>
      <c r="I151" s="194">
        <f t="shared" si="27"/>
        <v>94.456143563449913</v>
      </c>
    </row>
    <row r="152" spans="1:9" ht="30">
      <c r="A152" s="138">
        <v>112</v>
      </c>
      <c r="B152" s="139" t="s">
        <v>47</v>
      </c>
      <c r="C152" s="146" t="str">
        <f>'приложение 4'!E233</f>
        <v>09100S6070</v>
      </c>
      <c r="D152" s="138">
        <v>810</v>
      </c>
      <c r="E152" s="146" t="s">
        <v>107</v>
      </c>
      <c r="F152" s="29">
        <f>'приложение 4'!G235</f>
        <v>777200</v>
      </c>
      <c r="G152" s="29">
        <f>'приложение 4'!H235</f>
        <v>777200</v>
      </c>
      <c r="H152" s="29">
        <f>'приложение 4'!I235</f>
        <v>731650</v>
      </c>
      <c r="I152" s="193">
        <f t="shared" si="27"/>
        <v>94.139217704580545</v>
      </c>
    </row>
    <row r="153" spans="1:9" ht="60">
      <c r="A153" s="138">
        <v>113</v>
      </c>
      <c r="B153" s="139" t="str">
        <f>'приложение 4'!B236</f>
        <v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v>
      </c>
      <c r="C153" s="146" t="str">
        <f>'приложение 4'!E238</f>
        <v>09100S6680</v>
      </c>
      <c r="D153" s="147">
        <f>'приложение 4'!F238</f>
        <v>810</v>
      </c>
      <c r="E153" s="146" t="s">
        <v>107</v>
      </c>
      <c r="F153" s="29">
        <f>'приложение 4'!G238</f>
        <v>315000</v>
      </c>
      <c r="G153" s="29">
        <f>'приложение 4'!H238</f>
        <v>315000</v>
      </c>
      <c r="H153" s="29">
        <f>'приложение 4'!I238</f>
        <v>300000</v>
      </c>
      <c r="I153" s="193">
        <f t="shared" si="27"/>
        <v>95.238095238095227</v>
      </c>
    </row>
    <row r="154" spans="1:9" ht="28.5">
      <c r="A154" s="138">
        <v>114</v>
      </c>
      <c r="B154" s="86" t="s">
        <v>482</v>
      </c>
      <c r="C154" s="54" t="s">
        <v>376</v>
      </c>
      <c r="D154" s="147"/>
      <c r="E154" s="146"/>
      <c r="F154" s="56">
        <f>F155+F156</f>
        <v>799840</v>
      </c>
      <c r="G154" s="56">
        <f t="shared" ref="G154:H154" si="32">G155+G156</f>
        <v>799840</v>
      </c>
      <c r="H154" s="56">
        <f t="shared" si="32"/>
        <v>523646.73</v>
      </c>
      <c r="I154" s="194">
        <f t="shared" si="27"/>
        <v>65.468935037007398</v>
      </c>
    </row>
    <row r="155" spans="1:9" ht="26.25" customHeight="1">
      <c r="A155" s="218">
        <v>115</v>
      </c>
      <c r="B155" s="239" t="s">
        <v>49</v>
      </c>
      <c r="C155" s="214" t="str">
        <f>'приложение 4'!E273</f>
        <v>0920075180</v>
      </c>
      <c r="D155" s="147">
        <v>120</v>
      </c>
      <c r="E155" s="214" t="s">
        <v>417</v>
      </c>
      <c r="F155" s="29">
        <f>'приложение 4'!G271</f>
        <v>92996.63</v>
      </c>
      <c r="G155" s="29">
        <f>'приложение 4'!H271</f>
        <v>92996.63</v>
      </c>
      <c r="H155" s="29">
        <f>'приложение 4'!I271</f>
        <v>56322.720000000001</v>
      </c>
      <c r="I155" s="193">
        <f t="shared" si="27"/>
        <v>60.564259156487708</v>
      </c>
    </row>
    <row r="156" spans="1:9" ht="31.5" customHeight="1">
      <c r="A156" s="219"/>
      <c r="B156" s="240"/>
      <c r="C156" s="241"/>
      <c r="D156" s="147">
        <v>240</v>
      </c>
      <c r="E156" s="215"/>
      <c r="F156" s="29">
        <f>'приложение 4'!G273</f>
        <v>706843.37</v>
      </c>
      <c r="G156" s="29">
        <f>'приложение 4'!H273</f>
        <v>706843.37</v>
      </c>
      <c r="H156" s="29">
        <f>'приложение 4'!I273</f>
        <v>467324.01</v>
      </c>
      <c r="I156" s="193">
        <f t="shared" si="27"/>
        <v>66.11422414558406</v>
      </c>
    </row>
    <row r="157" spans="1:9" ht="28.5">
      <c r="A157" s="138">
        <v>116</v>
      </c>
      <c r="B157" s="75" t="s">
        <v>264</v>
      </c>
      <c r="C157" s="54" t="s">
        <v>483</v>
      </c>
      <c r="D157" s="53"/>
      <c r="E157" s="54"/>
      <c r="F157" s="56">
        <f>F158+F159</f>
        <v>1029000</v>
      </c>
      <c r="G157" s="56">
        <f t="shared" ref="G157:H157" si="33">G158+G159</f>
        <v>1029000</v>
      </c>
      <c r="H157" s="56">
        <f t="shared" si="33"/>
        <v>794126.02</v>
      </c>
      <c r="I157" s="194">
        <f t="shared" si="27"/>
        <v>77.174540330417884</v>
      </c>
    </row>
    <row r="158" spans="1:9" ht="36" customHeight="1">
      <c r="A158" s="206">
        <v>117</v>
      </c>
      <c r="B158" s="243" t="s">
        <v>41</v>
      </c>
      <c r="C158" s="222" t="str">
        <f>'приложение 4'!E208</f>
        <v>0930075170</v>
      </c>
      <c r="D158" s="138">
        <v>120</v>
      </c>
      <c r="E158" s="146" t="s">
        <v>103</v>
      </c>
      <c r="F158" s="29">
        <f>'приложение 4'!G210</f>
        <v>939966.23</v>
      </c>
      <c r="G158" s="29">
        <f>'приложение 4'!H210</f>
        <v>939966.23</v>
      </c>
      <c r="H158" s="29">
        <f>'приложение 4'!I210</f>
        <v>764126.02</v>
      </c>
      <c r="I158" s="193">
        <f t="shared" si="27"/>
        <v>81.292922619145585</v>
      </c>
    </row>
    <row r="159" spans="1:9" ht="37.5" customHeight="1">
      <c r="A159" s="206"/>
      <c r="B159" s="243"/>
      <c r="C159" s="222"/>
      <c r="D159" s="138">
        <v>240</v>
      </c>
      <c r="E159" s="146" t="s">
        <v>103</v>
      </c>
      <c r="F159" s="29">
        <f>'приложение 4'!G212</f>
        <v>89033.77</v>
      </c>
      <c r="G159" s="29">
        <f>'приложение 4'!H212</f>
        <v>89033.77</v>
      </c>
      <c r="H159" s="29">
        <f>'приложение 4'!I212</f>
        <v>30000</v>
      </c>
      <c r="I159" s="193">
        <f t="shared" si="27"/>
        <v>33.695079967971701</v>
      </c>
    </row>
    <row r="160" spans="1:9" ht="28.5">
      <c r="A160" s="138">
        <v>118</v>
      </c>
      <c r="B160" s="75" t="s">
        <v>223</v>
      </c>
      <c r="C160" s="53">
        <v>1000000000</v>
      </c>
      <c r="D160" s="53"/>
      <c r="E160" s="54"/>
      <c r="F160" s="56">
        <f>F161+F165+F166+F167+F171</f>
        <v>43742100.230000004</v>
      </c>
      <c r="G160" s="56">
        <f>G161+G165+G166+G167+G171</f>
        <v>43742100.230000004</v>
      </c>
      <c r="H160" s="56">
        <f>H161+H165+H166+H167+H171</f>
        <v>42652213.869999997</v>
      </c>
      <c r="I160" s="194">
        <f t="shared" si="27"/>
        <v>97.508381275089022</v>
      </c>
    </row>
    <row r="161" spans="1:9" ht="30">
      <c r="A161" s="138">
        <v>119</v>
      </c>
      <c r="B161" s="42" t="s">
        <v>310</v>
      </c>
      <c r="C161" s="141">
        <v>1010000000</v>
      </c>
      <c r="D161" s="53"/>
      <c r="E161" s="54"/>
      <c r="F161" s="41">
        <f>F162+F164+F163</f>
        <v>30229611.780000001</v>
      </c>
      <c r="G161" s="41">
        <f>G162+G164+G163</f>
        <v>30229611.780000001</v>
      </c>
      <c r="H161" s="41">
        <f>H162+H164+H163</f>
        <v>29442174.949999999</v>
      </c>
      <c r="I161" s="194">
        <f t="shared" si="27"/>
        <v>97.39514739477741</v>
      </c>
    </row>
    <row r="162" spans="1:9" ht="52.9" customHeight="1">
      <c r="A162" s="218">
        <v>120</v>
      </c>
      <c r="B162" s="220" t="s">
        <v>43</v>
      </c>
      <c r="C162" s="218">
        <f>'приложение 4'!E216</f>
        <v>1010023580</v>
      </c>
      <c r="D162" s="138">
        <v>810</v>
      </c>
      <c r="E162" s="146" t="s">
        <v>104</v>
      </c>
      <c r="F162" s="29">
        <f>'приложение 4'!G218</f>
        <v>24102243.920000002</v>
      </c>
      <c r="G162" s="29">
        <f>'приложение 4'!H218</f>
        <v>24102243.920000002</v>
      </c>
      <c r="H162" s="29">
        <f>'приложение 4'!I218</f>
        <v>23630197.690000001</v>
      </c>
      <c r="I162" s="193">
        <f t="shared" si="27"/>
        <v>98.041484305084566</v>
      </c>
    </row>
    <row r="163" spans="1:9" ht="38.25" customHeight="1">
      <c r="A163" s="219"/>
      <c r="B163" s="221"/>
      <c r="C163" s="219"/>
      <c r="D163" s="138">
        <v>240</v>
      </c>
      <c r="E163" s="146" t="s">
        <v>104</v>
      </c>
      <c r="F163" s="29">
        <f>'приложение 4'!G219</f>
        <v>22.06</v>
      </c>
      <c r="G163" s="29">
        <f>'приложение 4'!H219</f>
        <v>22.06</v>
      </c>
      <c r="H163" s="29">
        <f>'приложение 4'!I219</f>
        <v>22.06</v>
      </c>
      <c r="I163" s="193">
        <f t="shared" si="27"/>
        <v>100</v>
      </c>
    </row>
    <row r="164" spans="1:9" ht="102" customHeight="1">
      <c r="A164" s="138">
        <v>121</v>
      </c>
      <c r="B164" s="153" t="s">
        <v>265</v>
      </c>
      <c r="C164" s="138">
        <f>'приложение 4'!E223</f>
        <v>1010023590</v>
      </c>
      <c r="D164" s="138">
        <v>810</v>
      </c>
      <c r="E164" s="146" t="s">
        <v>104</v>
      </c>
      <c r="F164" s="29">
        <f>'приложение 4'!G223</f>
        <v>6127345.7999999998</v>
      </c>
      <c r="G164" s="29">
        <f>'приложение 4'!H223</f>
        <v>6127345.7999999998</v>
      </c>
      <c r="H164" s="29">
        <f>'приложение 4'!I223</f>
        <v>5811955.2000000002</v>
      </c>
      <c r="I164" s="193">
        <f t="shared" si="27"/>
        <v>94.852737052966731</v>
      </c>
    </row>
    <row r="165" spans="1:9" ht="30">
      <c r="A165" s="138">
        <v>122</v>
      </c>
      <c r="B165" s="42" t="s">
        <v>138</v>
      </c>
      <c r="C165" s="141">
        <v>1020000000</v>
      </c>
      <c r="D165" s="53"/>
      <c r="E165" s="54"/>
      <c r="F165" s="41">
        <v>0</v>
      </c>
      <c r="G165" s="41">
        <v>0</v>
      </c>
      <c r="H165" s="41">
        <v>0</v>
      </c>
      <c r="I165" s="193"/>
    </row>
    <row r="166" spans="1:9" ht="30">
      <c r="A166" s="138">
        <v>123</v>
      </c>
      <c r="B166" s="42" t="s">
        <v>294</v>
      </c>
      <c r="C166" s="141">
        <v>1030000000</v>
      </c>
      <c r="D166" s="141"/>
      <c r="E166" s="152"/>
      <c r="F166" s="41">
        <v>0</v>
      </c>
      <c r="G166" s="41">
        <v>0</v>
      </c>
      <c r="H166" s="41">
        <v>0</v>
      </c>
      <c r="I166" s="193"/>
    </row>
    <row r="167" spans="1:9" ht="30">
      <c r="A167" s="138">
        <v>124</v>
      </c>
      <c r="B167" s="42" t="s">
        <v>311</v>
      </c>
      <c r="C167" s="141">
        <v>1040000000</v>
      </c>
      <c r="D167" s="141"/>
      <c r="E167" s="152"/>
      <c r="F167" s="41">
        <f>F168+F170</f>
        <v>13512488.449999999</v>
      </c>
      <c r="G167" s="41">
        <f t="shared" ref="G167:H167" si="34">G168+G170</f>
        <v>13512488.449999999</v>
      </c>
      <c r="H167" s="41">
        <f t="shared" si="34"/>
        <v>13210038.92</v>
      </c>
      <c r="I167" s="194">
        <f t="shared" si="27"/>
        <v>97.761703692705098</v>
      </c>
    </row>
    <row r="168" spans="1:9" ht="37.5" customHeight="1">
      <c r="A168" s="218">
        <v>125</v>
      </c>
      <c r="B168" s="223" t="s">
        <v>463</v>
      </c>
      <c r="C168" s="218">
        <f>'приложение 4'!E59</f>
        <v>1040082230</v>
      </c>
      <c r="D168" s="233">
        <v>540</v>
      </c>
      <c r="E168" s="237" t="s">
        <v>106</v>
      </c>
      <c r="F168" s="204">
        <f>'приложение 4'!G61</f>
        <v>12501303.449999999</v>
      </c>
      <c r="G168" s="204">
        <f>'приложение 4'!H61</f>
        <v>12501303.449999999</v>
      </c>
      <c r="H168" s="204">
        <f>'приложение 4'!I61</f>
        <v>12276760.43</v>
      </c>
      <c r="I168" s="208">
        <f t="shared" si="27"/>
        <v>98.203843136053152</v>
      </c>
    </row>
    <row r="169" spans="1:9" ht="43.5" customHeight="1">
      <c r="A169" s="219"/>
      <c r="B169" s="224"/>
      <c r="C169" s="219"/>
      <c r="D169" s="234"/>
      <c r="E169" s="238"/>
      <c r="F169" s="205"/>
      <c r="G169" s="205"/>
      <c r="H169" s="205"/>
      <c r="I169" s="209"/>
    </row>
    <row r="170" spans="1:9" ht="69.75" customHeight="1">
      <c r="A170" s="151">
        <v>126</v>
      </c>
      <c r="B170" s="158" t="s">
        <v>462</v>
      </c>
      <c r="C170" s="155">
        <f>'приложение 4'!E227</f>
        <v>1040082240</v>
      </c>
      <c r="D170" s="159">
        <v>240</v>
      </c>
      <c r="E170" s="156" t="s">
        <v>106</v>
      </c>
      <c r="F170" s="186">
        <f>'приложение 4'!G229</f>
        <v>1011185</v>
      </c>
      <c r="G170" s="186">
        <f>'приложение 4'!H229</f>
        <v>1011185</v>
      </c>
      <c r="H170" s="186">
        <f>'приложение 4'!I229</f>
        <v>933278.49</v>
      </c>
      <c r="I170" s="193">
        <f t="shared" si="27"/>
        <v>92.295523568882061</v>
      </c>
    </row>
    <row r="171" spans="1:9" ht="21.75" customHeight="1">
      <c r="A171" s="138">
        <v>127</v>
      </c>
      <c r="B171" s="61" t="s">
        <v>38</v>
      </c>
      <c r="C171" s="141"/>
      <c r="D171" s="141"/>
      <c r="E171" s="152"/>
      <c r="F171" s="41">
        <v>0</v>
      </c>
      <c r="G171" s="41">
        <v>0</v>
      </c>
      <c r="H171" s="41">
        <v>0</v>
      </c>
      <c r="I171" s="193"/>
    </row>
    <row r="172" spans="1:9" ht="42.75">
      <c r="A172" s="138">
        <v>128</v>
      </c>
      <c r="B172" s="75" t="s">
        <v>224</v>
      </c>
      <c r="C172" s="53">
        <v>1100000000</v>
      </c>
      <c r="D172" s="138"/>
      <c r="E172" s="146"/>
      <c r="F172" s="56">
        <f>F173+F174+F176+F179+F183+F187</f>
        <v>16656957.550000001</v>
      </c>
      <c r="G172" s="56">
        <f>G173+G174+G176+G179+G183+G187</f>
        <v>16656957.549999999</v>
      </c>
      <c r="H172" s="56">
        <f>H173+H174+H176+H179+H183+H187</f>
        <v>9679353.3099999987</v>
      </c>
      <c r="I172" s="194">
        <f t="shared" si="27"/>
        <v>58.109971649654589</v>
      </c>
    </row>
    <row r="173" spans="1:9" ht="30">
      <c r="A173" s="138">
        <v>129</v>
      </c>
      <c r="B173" s="42" t="s">
        <v>139</v>
      </c>
      <c r="C173" s="141">
        <v>1110000000</v>
      </c>
      <c r="D173" s="53"/>
      <c r="E173" s="54"/>
      <c r="F173" s="41">
        <v>0</v>
      </c>
      <c r="G173" s="41">
        <v>0</v>
      </c>
      <c r="H173" s="41">
        <v>0</v>
      </c>
      <c r="I173" s="193"/>
    </row>
    <row r="174" spans="1:9" ht="30">
      <c r="A174" s="138">
        <v>130</v>
      </c>
      <c r="B174" s="42" t="s">
        <v>140</v>
      </c>
      <c r="C174" s="141">
        <v>1120000000</v>
      </c>
      <c r="D174" s="53"/>
      <c r="E174" s="54"/>
      <c r="F174" s="41">
        <f t="shared" ref="F174:H174" si="35">F175</f>
        <v>1297287.9400000002</v>
      </c>
      <c r="G174" s="41">
        <f t="shared" si="35"/>
        <v>1297287.94</v>
      </c>
      <c r="H174" s="41">
        <f t="shared" si="35"/>
        <v>1297287.94</v>
      </c>
      <c r="I174" s="194">
        <f t="shared" si="27"/>
        <v>100</v>
      </c>
    </row>
    <row r="175" spans="1:9" ht="28.5" customHeight="1">
      <c r="A175" s="138">
        <v>131</v>
      </c>
      <c r="B175" s="139" t="s">
        <v>145</v>
      </c>
      <c r="C175" s="57" t="str">
        <f>'приложение 4'!E293</f>
        <v>11200L4970</v>
      </c>
      <c r="D175" s="138">
        <v>320</v>
      </c>
      <c r="E175" s="146" t="s">
        <v>126</v>
      </c>
      <c r="F175" s="29">
        <f>'приложение 4'!G295</f>
        <v>1297287.9400000002</v>
      </c>
      <c r="G175" s="29">
        <f>'приложение 4'!H295</f>
        <v>1297287.94</v>
      </c>
      <c r="H175" s="29">
        <f>'приложение 4'!I295</f>
        <v>1297287.94</v>
      </c>
      <c r="I175" s="193">
        <f t="shared" si="27"/>
        <v>100</v>
      </c>
    </row>
    <row r="176" spans="1:9" ht="45">
      <c r="A176" s="138">
        <v>132</v>
      </c>
      <c r="B176" s="42" t="s">
        <v>141</v>
      </c>
      <c r="C176" s="141">
        <v>1130000000</v>
      </c>
      <c r="D176" s="53"/>
      <c r="E176" s="54"/>
      <c r="F176" s="41">
        <f>F177+F178</f>
        <v>3783750</v>
      </c>
      <c r="G176" s="41">
        <f t="shared" ref="G176:H176" si="36">G177+G178</f>
        <v>3783750</v>
      </c>
      <c r="H176" s="41">
        <f t="shared" si="36"/>
        <v>996910</v>
      </c>
      <c r="I176" s="194">
        <f t="shared" si="27"/>
        <v>26.347142385199867</v>
      </c>
    </row>
    <row r="177" spans="1:9" ht="42.75" customHeight="1">
      <c r="A177" s="138">
        <v>133</v>
      </c>
      <c r="B177" s="122" t="str">
        <f>'приложение 4'!B241</f>
        <v>Разработка генерального плана и проекта правил землепользования и застройки муниципального образования Новоангарский сельсовет</v>
      </c>
      <c r="C177" s="146" t="str">
        <f>'приложение 4'!E243</f>
        <v>1130084670</v>
      </c>
      <c r="D177" s="138">
        <v>240</v>
      </c>
      <c r="E177" s="146" t="s">
        <v>107</v>
      </c>
      <c r="F177" s="29">
        <f>'приложение 4'!G243</f>
        <v>3423750</v>
      </c>
      <c r="G177" s="29">
        <f>'приложение 4'!H243</f>
        <v>3423750</v>
      </c>
      <c r="H177" s="29">
        <f>'приложение 4'!I243</f>
        <v>640750</v>
      </c>
      <c r="I177" s="193">
        <f t="shared" si="27"/>
        <v>18.714859437751006</v>
      </c>
    </row>
    <row r="178" spans="1:9" ht="42.75" customHeight="1">
      <c r="A178" s="138">
        <v>134</v>
      </c>
      <c r="B178" s="122" t="s">
        <v>552</v>
      </c>
      <c r="C178" s="146" t="str">
        <f>'приложение 4'!E246</f>
        <v>1130084680</v>
      </c>
      <c r="D178" s="138">
        <v>240</v>
      </c>
      <c r="E178" s="146" t="s">
        <v>107</v>
      </c>
      <c r="F178" s="29">
        <f>'приложение 4'!G246</f>
        <v>360000</v>
      </c>
      <c r="G178" s="29">
        <f>'приложение 4'!H246</f>
        <v>360000</v>
      </c>
      <c r="H178" s="29">
        <f>'приложение 4'!I246</f>
        <v>356160</v>
      </c>
      <c r="I178" s="193">
        <f t="shared" si="27"/>
        <v>98.933333333333323</v>
      </c>
    </row>
    <row r="179" spans="1:9" ht="75">
      <c r="A179" s="138">
        <v>135</v>
      </c>
      <c r="B179" s="154" t="s">
        <v>480</v>
      </c>
      <c r="C179" s="141">
        <v>1140000000</v>
      </c>
      <c r="D179" s="53"/>
      <c r="E179" s="54"/>
      <c r="F179" s="41">
        <f>F180+F182+F181</f>
        <v>5564640</v>
      </c>
      <c r="G179" s="41">
        <f t="shared" ref="G179:H179" si="37">G180+G182+G181</f>
        <v>5564640</v>
      </c>
      <c r="H179" s="41">
        <f t="shared" si="37"/>
        <v>5161794.9099999992</v>
      </c>
      <c r="I179" s="194">
        <f t="shared" si="27"/>
        <v>92.760626204031155</v>
      </c>
    </row>
    <row r="180" spans="1:9">
      <c r="A180" s="218">
        <v>136</v>
      </c>
      <c r="B180" s="247" t="s">
        <v>386</v>
      </c>
      <c r="C180" s="235">
        <f>'приложение 4'!E253</f>
        <v>1140092030</v>
      </c>
      <c r="D180" s="138">
        <v>240</v>
      </c>
      <c r="E180" s="146" t="s">
        <v>371</v>
      </c>
      <c r="F180" s="29">
        <f>'приложение 4'!G253</f>
        <v>171930</v>
      </c>
      <c r="G180" s="29">
        <f>'приложение 4'!H253</f>
        <v>171930</v>
      </c>
      <c r="H180" s="29">
        <f>'приложение 4'!I253</f>
        <v>158323.64000000001</v>
      </c>
      <c r="I180" s="193">
        <f t="shared" si="27"/>
        <v>92.08610481009714</v>
      </c>
    </row>
    <row r="181" spans="1:9">
      <c r="A181" s="219"/>
      <c r="B181" s="248"/>
      <c r="C181" s="236"/>
      <c r="D181" s="138">
        <v>850</v>
      </c>
      <c r="E181" s="146" t="s">
        <v>371</v>
      </c>
      <c r="F181" s="29">
        <f>'приложение 4'!G255</f>
        <v>10000</v>
      </c>
      <c r="G181" s="29">
        <f>'приложение 4'!H255</f>
        <v>10000</v>
      </c>
      <c r="H181" s="29">
        <f>'приложение 4'!I255</f>
        <v>0</v>
      </c>
      <c r="I181" s="193">
        <f t="shared" si="27"/>
        <v>0</v>
      </c>
    </row>
    <row r="182" spans="1:9" ht="90">
      <c r="A182" s="138">
        <v>137</v>
      </c>
      <c r="B182" s="139" t="s">
        <v>424</v>
      </c>
      <c r="C182" s="140">
        <f>'приложение 4'!E178</f>
        <v>1140092040</v>
      </c>
      <c r="D182" s="138">
        <v>240</v>
      </c>
      <c r="E182" s="146" t="s">
        <v>93</v>
      </c>
      <c r="F182" s="55">
        <f>'приложение 4'!G180</f>
        <v>5382710</v>
      </c>
      <c r="G182" s="55">
        <f>'приложение 4'!H180</f>
        <v>5382710</v>
      </c>
      <c r="H182" s="55">
        <f>'приложение 4'!I180</f>
        <v>5003471.2699999996</v>
      </c>
      <c r="I182" s="193">
        <f t="shared" si="27"/>
        <v>92.954501914463151</v>
      </c>
    </row>
    <row r="183" spans="1:9" ht="45">
      <c r="A183" s="138">
        <v>138</v>
      </c>
      <c r="B183" s="154" t="s">
        <v>142</v>
      </c>
      <c r="C183" s="141">
        <v>1150000000</v>
      </c>
      <c r="D183" s="53"/>
      <c r="E183" s="54"/>
      <c r="F183" s="41">
        <f>F184+F185+F186</f>
        <v>5027179.6099999994</v>
      </c>
      <c r="G183" s="41">
        <f t="shared" ref="G183:H183" si="38">G184+G185+G186</f>
        <v>5027179.6099999994</v>
      </c>
      <c r="H183" s="41">
        <f t="shared" si="38"/>
        <v>1256392.6100000001</v>
      </c>
      <c r="I183" s="194">
        <f t="shared" si="27"/>
        <v>24.991997650149607</v>
      </c>
    </row>
    <row r="184" spans="1:9" ht="24.75" customHeight="1">
      <c r="A184" s="218">
        <v>139</v>
      </c>
      <c r="B184" s="227" t="s">
        <v>58</v>
      </c>
      <c r="C184" s="218">
        <f>'приложение 4'!E299</f>
        <v>1150075870</v>
      </c>
      <c r="D184" s="138">
        <v>410</v>
      </c>
      <c r="E184" s="146" t="s">
        <v>164</v>
      </c>
      <c r="F184" s="29">
        <f>'приложение 4'!G301</f>
        <v>4872500</v>
      </c>
      <c r="G184" s="29">
        <f>'приложение 4'!H301</f>
        <v>4872500</v>
      </c>
      <c r="H184" s="29">
        <f>'приложение 4'!I301</f>
        <v>1120875</v>
      </c>
      <c r="I184" s="193">
        <f t="shared" si="27"/>
        <v>23.004104669061057</v>
      </c>
    </row>
    <row r="185" spans="1:9" ht="24.75" customHeight="1">
      <c r="A185" s="230"/>
      <c r="B185" s="228"/>
      <c r="C185" s="230"/>
      <c r="D185" s="138">
        <v>120</v>
      </c>
      <c r="E185" s="146" t="s">
        <v>127</v>
      </c>
      <c r="F185" s="29">
        <f>'приложение 4'!G329</f>
        <v>149964.01999999999</v>
      </c>
      <c r="G185" s="29">
        <f>'приложение 4'!H329</f>
        <v>149964.01999999999</v>
      </c>
      <c r="H185" s="29">
        <f>'приложение 4'!I329</f>
        <v>130802.02</v>
      </c>
      <c r="I185" s="193">
        <f t="shared" si="27"/>
        <v>87.222268381442433</v>
      </c>
    </row>
    <row r="186" spans="1:9" ht="36" customHeight="1">
      <c r="A186" s="219"/>
      <c r="B186" s="229"/>
      <c r="C186" s="219"/>
      <c r="D186" s="138">
        <v>240</v>
      </c>
      <c r="E186" s="146" t="s">
        <v>127</v>
      </c>
      <c r="F186" s="29">
        <f>'приложение 4'!G331</f>
        <v>4715.59</v>
      </c>
      <c r="G186" s="29">
        <f>'приложение 4'!H331</f>
        <v>4715.59</v>
      </c>
      <c r="H186" s="29">
        <f>'приложение 4'!I331</f>
        <v>4715.59</v>
      </c>
      <c r="I186" s="193">
        <f t="shared" si="27"/>
        <v>100</v>
      </c>
    </row>
    <row r="187" spans="1:9">
      <c r="A187" s="138">
        <v>140</v>
      </c>
      <c r="B187" s="154" t="s">
        <v>143</v>
      </c>
      <c r="C187" s="141"/>
      <c r="D187" s="53"/>
      <c r="E187" s="54"/>
      <c r="F187" s="41">
        <f t="shared" ref="F187:G187" si="39">F188+F189</f>
        <v>984100</v>
      </c>
      <c r="G187" s="41">
        <f t="shared" si="39"/>
        <v>984100</v>
      </c>
      <c r="H187" s="41">
        <f t="shared" ref="H187" si="40">H188+H189</f>
        <v>966967.85</v>
      </c>
      <c r="I187" s="194">
        <f t="shared" si="27"/>
        <v>98.259104765775831</v>
      </c>
    </row>
    <row r="188" spans="1:9" ht="24.75" customHeight="1">
      <c r="A188" s="206">
        <v>141</v>
      </c>
      <c r="B188" s="207" t="s">
        <v>263</v>
      </c>
      <c r="C188" s="206">
        <f>'приложение 4'!E182</f>
        <v>1190074670</v>
      </c>
      <c r="D188" s="138">
        <v>120</v>
      </c>
      <c r="E188" s="146" t="s">
        <v>93</v>
      </c>
      <c r="F188" s="29">
        <f>'приложение 4'!G184</f>
        <v>929966.23</v>
      </c>
      <c r="G188" s="29">
        <f>'приложение 4'!H184</f>
        <v>929966.23</v>
      </c>
      <c r="H188" s="29">
        <f>'приложение 4'!I184</f>
        <v>929307.85</v>
      </c>
      <c r="I188" s="193">
        <f t="shared" si="27"/>
        <v>99.9292038808764</v>
      </c>
    </row>
    <row r="189" spans="1:9" ht="35.25" customHeight="1">
      <c r="A189" s="206"/>
      <c r="B189" s="207"/>
      <c r="C189" s="206"/>
      <c r="D189" s="138">
        <v>240</v>
      </c>
      <c r="E189" s="146" t="s">
        <v>93</v>
      </c>
      <c r="F189" s="29">
        <f>'приложение 4'!G186</f>
        <v>54133.77</v>
      </c>
      <c r="G189" s="29">
        <f>'приложение 4'!H186</f>
        <v>54133.77</v>
      </c>
      <c r="H189" s="29">
        <f>'приложение 4'!I186</f>
        <v>37660</v>
      </c>
      <c r="I189" s="193">
        <f t="shared" si="27"/>
        <v>69.5684043435364</v>
      </c>
    </row>
    <row r="190" spans="1:9" ht="30">
      <c r="A190" s="138">
        <v>142</v>
      </c>
      <c r="B190" s="76" t="s">
        <v>330</v>
      </c>
      <c r="C190" s="141">
        <v>8100000000</v>
      </c>
      <c r="D190" s="141"/>
      <c r="E190" s="152"/>
      <c r="F190" s="41">
        <f t="shared" ref="F190:H190" si="41">F191</f>
        <v>5457787.9299999997</v>
      </c>
      <c r="G190" s="41">
        <f t="shared" si="41"/>
        <v>5457787.9299999997</v>
      </c>
      <c r="H190" s="41">
        <f t="shared" si="41"/>
        <v>5335960.12</v>
      </c>
      <c r="I190" s="194">
        <f t="shared" si="27"/>
        <v>97.767817079693685</v>
      </c>
    </row>
    <row r="191" spans="1:9">
      <c r="A191" s="138">
        <v>143</v>
      </c>
      <c r="B191" s="61" t="s">
        <v>277</v>
      </c>
      <c r="C191" s="141">
        <v>8110000000</v>
      </c>
      <c r="D191" s="141"/>
      <c r="E191" s="152"/>
      <c r="F191" s="41">
        <f t="shared" ref="F191" si="42">F192+F193+F195+F196+F197+F194</f>
        <v>5457787.9299999997</v>
      </c>
      <c r="G191" s="41">
        <f t="shared" ref="G191" si="43">G192+G193+G195+G196+G197+G194</f>
        <v>5457787.9299999997</v>
      </c>
      <c r="H191" s="41">
        <f t="shared" ref="H191" si="44">H192+H193+H195+H196+H197+H194</f>
        <v>5335960.12</v>
      </c>
      <c r="I191" s="194">
        <f t="shared" si="27"/>
        <v>97.767817079693685</v>
      </c>
    </row>
    <row r="192" spans="1:9" ht="28.5" customHeight="1">
      <c r="A192" s="218">
        <v>144</v>
      </c>
      <c r="B192" s="227" t="s">
        <v>322</v>
      </c>
      <c r="C192" s="218">
        <v>8110000210</v>
      </c>
      <c r="D192" s="140">
        <v>120</v>
      </c>
      <c r="E192" s="121" t="s">
        <v>89</v>
      </c>
      <c r="F192" s="55">
        <f>'приложение 4'!G646</f>
        <v>2300980.3099999996</v>
      </c>
      <c r="G192" s="55">
        <f>'приложение 4'!H646</f>
        <v>2300980.31</v>
      </c>
      <c r="H192" s="55">
        <f>'приложение 4'!I646</f>
        <v>2230678.15</v>
      </c>
      <c r="I192" s="193">
        <f t="shared" si="27"/>
        <v>96.944686588821781</v>
      </c>
    </row>
    <row r="193" spans="1:9" ht="27.75" customHeight="1">
      <c r="A193" s="230"/>
      <c r="B193" s="228"/>
      <c r="C193" s="230"/>
      <c r="D193" s="140">
        <v>240</v>
      </c>
      <c r="E193" s="121" t="s">
        <v>89</v>
      </c>
      <c r="F193" s="55">
        <f>'приложение 4'!G648</f>
        <v>260912</v>
      </c>
      <c r="G193" s="55">
        <f>'приложение 4'!H648</f>
        <v>260912</v>
      </c>
      <c r="H193" s="55">
        <f>'приложение 4'!I648</f>
        <v>226003.64</v>
      </c>
      <c r="I193" s="193">
        <f t="shared" si="27"/>
        <v>86.620638376157487</v>
      </c>
    </row>
    <row r="194" spans="1:9" ht="43.5" customHeight="1">
      <c r="A194" s="219"/>
      <c r="B194" s="229"/>
      <c r="C194" s="219"/>
      <c r="D194" s="140">
        <v>850</v>
      </c>
      <c r="E194" s="121" t="s">
        <v>89</v>
      </c>
      <c r="F194" s="55">
        <f>'приложение 4'!G650</f>
        <v>500</v>
      </c>
      <c r="G194" s="55">
        <f>'приложение 4'!H650</f>
        <v>500</v>
      </c>
      <c r="H194" s="55">
        <f>'приложение 4'!I650</f>
        <v>0</v>
      </c>
      <c r="I194" s="193">
        <f t="shared" si="27"/>
        <v>0</v>
      </c>
    </row>
    <row r="195" spans="1:9" ht="63" customHeight="1">
      <c r="A195" s="138">
        <v>145</v>
      </c>
      <c r="B195" s="139" t="s">
        <v>323</v>
      </c>
      <c r="C195" s="138">
        <f>'приложение 4'!E651</f>
        <v>8110000220</v>
      </c>
      <c r="D195" s="140">
        <v>120</v>
      </c>
      <c r="E195" s="121" t="s">
        <v>89</v>
      </c>
      <c r="F195" s="55">
        <f>'приложение 4'!G653</f>
        <v>563217.45000000007</v>
      </c>
      <c r="G195" s="55">
        <f>'приложение 4'!H653</f>
        <v>563217.44999999995</v>
      </c>
      <c r="H195" s="55">
        <f>'приложение 4'!I653</f>
        <v>559456.21</v>
      </c>
      <c r="I195" s="193">
        <f t="shared" si="27"/>
        <v>99.332186884479526</v>
      </c>
    </row>
    <row r="196" spans="1:9" ht="50.25" customHeight="1">
      <c r="A196" s="138">
        <v>146</v>
      </c>
      <c r="B196" s="153" t="s">
        <v>396</v>
      </c>
      <c r="C196" s="138">
        <f>'приложение 4'!E654</f>
        <v>8110000230</v>
      </c>
      <c r="D196" s="140">
        <v>120</v>
      </c>
      <c r="E196" s="121" t="s">
        <v>89</v>
      </c>
      <c r="F196" s="55">
        <f>'приложение 4'!G656</f>
        <v>2200178.1700000004</v>
      </c>
      <c r="G196" s="55">
        <f>'приложение 4'!H656</f>
        <v>2200178.17</v>
      </c>
      <c r="H196" s="55">
        <f>'приложение 4'!I656</f>
        <v>2187822.12</v>
      </c>
      <c r="I196" s="193">
        <f t="shared" si="27"/>
        <v>99.438406845023835</v>
      </c>
    </row>
    <row r="197" spans="1:9" ht="29.25" customHeight="1">
      <c r="A197" s="138">
        <v>147</v>
      </c>
      <c r="B197" s="139" t="s">
        <v>320</v>
      </c>
      <c r="C197" s="138">
        <v>8110000240</v>
      </c>
      <c r="D197" s="140">
        <v>120</v>
      </c>
      <c r="E197" s="121" t="s">
        <v>89</v>
      </c>
      <c r="F197" s="55">
        <f>'приложение 4'!G659</f>
        <v>132000.00000000035</v>
      </c>
      <c r="G197" s="55">
        <f>'приложение 4'!H659</f>
        <v>132000</v>
      </c>
      <c r="H197" s="55">
        <f>'приложение 4'!I659</f>
        <v>132000</v>
      </c>
      <c r="I197" s="193">
        <f t="shared" si="27"/>
        <v>100</v>
      </c>
    </row>
    <row r="198" spans="1:9" ht="28.5">
      <c r="A198" s="138">
        <v>148</v>
      </c>
      <c r="B198" s="80" t="s">
        <v>298</v>
      </c>
      <c r="C198" s="53">
        <v>8200000000</v>
      </c>
      <c r="D198" s="53"/>
      <c r="E198" s="53"/>
      <c r="F198" s="81">
        <f t="shared" ref="F198:H198" si="45">F199</f>
        <v>4032494.05</v>
      </c>
      <c r="G198" s="81">
        <f t="shared" si="45"/>
        <v>4032494.05</v>
      </c>
      <c r="H198" s="81">
        <f t="shared" si="45"/>
        <v>3999725.6900000004</v>
      </c>
      <c r="I198" s="194">
        <f t="shared" si="27"/>
        <v>99.187392229382226</v>
      </c>
    </row>
    <row r="199" spans="1:9" ht="30">
      <c r="A199" s="138">
        <v>149</v>
      </c>
      <c r="B199" s="61" t="s">
        <v>276</v>
      </c>
      <c r="C199" s="141">
        <v>8210000000</v>
      </c>
      <c r="D199" s="141"/>
      <c r="E199" s="141"/>
      <c r="F199" s="188">
        <f>F200+F201+F202+F203+F204</f>
        <v>4032494.05</v>
      </c>
      <c r="G199" s="188">
        <f t="shared" ref="G199:H199" si="46">G200+G201+G202+G203+G204</f>
        <v>4032494.05</v>
      </c>
      <c r="H199" s="188">
        <f t="shared" si="46"/>
        <v>3999725.6900000004</v>
      </c>
      <c r="I199" s="194">
        <f t="shared" si="27"/>
        <v>99.187392229382226</v>
      </c>
    </row>
    <row r="200" spans="1:9">
      <c r="A200" s="206">
        <v>150</v>
      </c>
      <c r="B200" s="231" t="s">
        <v>74</v>
      </c>
      <c r="C200" s="206">
        <v>8210000210</v>
      </c>
      <c r="D200" s="138">
        <v>120</v>
      </c>
      <c r="E200" s="146" t="s">
        <v>91</v>
      </c>
      <c r="F200" s="187">
        <f>'приложение 4'!G628</f>
        <v>1894782.14</v>
      </c>
      <c r="G200" s="187">
        <f>'приложение 4'!H628</f>
        <v>1894782.14</v>
      </c>
      <c r="H200" s="187">
        <f>'приложение 4'!I628</f>
        <v>1869116.03</v>
      </c>
      <c r="I200" s="193">
        <f t="shared" si="27"/>
        <v>98.645432133954998</v>
      </c>
    </row>
    <row r="201" spans="1:9">
      <c r="A201" s="206"/>
      <c r="B201" s="231"/>
      <c r="C201" s="206"/>
      <c r="D201" s="138">
        <v>240</v>
      </c>
      <c r="E201" s="146" t="s">
        <v>91</v>
      </c>
      <c r="F201" s="187">
        <f>'приложение 4'!G630</f>
        <v>289202</v>
      </c>
      <c r="G201" s="187">
        <f>'приложение 4'!H630</f>
        <v>289202</v>
      </c>
      <c r="H201" s="187">
        <f>'приложение 4'!I630</f>
        <v>282599.75</v>
      </c>
      <c r="I201" s="193">
        <f t="shared" si="27"/>
        <v>97.717080103180479</v>
      </c>
    </row>
    <row r="202" spans="1:9">
      <c r="A202" s="206"/>
      <c r="B202" s="231"/>
      <c r="C202" s="206"/>
      <c r="D202" s="138">
        <v>850</v>
      </c>
      <c r="E202" s="146" t="s">
        <v>91</v>
      </c>
      <c r="F202" s="187">
        <f>'приложение 4'!G632</f>
        <v>500</v>
      </c>
      <c r="G202" s="187">
        <f>'приложение 4'!H632</f>
        <v>500</v>
      </c>
      <c r="H202" s="187">
        <f>'приложение 4'!I632</f>
        <v>0</v>
      </c>
      <c r="I202" s="193">
        <f t="shared" si="27"/>
        <v>0</v>
      </c>
    </row>
    <row r="203" spans="1:9">
      <c r="A203" s="138">
        <v>151</v>
      </c>
      <c r="B203" s="153" t="s">
        <v>457</v>
      </c>
      <c r="C203" s="138">
        <f>'приложение 4'!E634</f>
        <v>8210000250</v>
      </c>
      <c r="D203" s="138">
        <v>120</v>
      </c>
      <c r="E203" s="146" t="s">
        <v>91</v>
      </c>
      <c r="F203" s="187">
        <f>'приложение 4'!G635</f>
        <v>1364227.9100000001</v>
      </c>
      <c r="G203" s="187">
        <f>'приложение 4'!H635</f>
        <v>1364227.91</v>
      </c>
      <c r="H203" s="187">
        <f>'приложение 4'!I635</f>
        <v>1364227.91</v>
      </c>
      <c r="I203" s="193">
        <f t="shared" si="27"/>
        <v>100</v>
      </c>
    </row>
    <row r="204" spans="1:9" ht="38.25" customHeight="1">
      <c r="A204" s="138">
        <v>152</v>
      </c>
      <c r="B204" s="153" t="str">
        <f>'приложение 4'!B636</f>
        <v>Осуществление части полномочий контрольно-счетного органа поселений по  внешнему муниципальному финансовому контролю</v>
      </c>
      <c r="C204" s="138">
        <f>'приложение 4'!E638</f>
        <v>8210084600</v>
      </c>
      <c r="D204" s="138">
        <v>120</v>
      </c>
      <c r="E204" s="146" t="s">
        <v>91</v>
      </c>
      <c r="F204" s="187">
        <f>'приложение 4'!G638</f>
        <v>483782</v>
      </c>
      <c r="G204" s="187">
        <f>'приложение 4'!H638</f>
        <v>483782</v>
      </c>
      <c r="H204" s="187">
        <f>'приложение 4'!I638</f>
        <v>483782</v>
      </c>
      <c r="I204" s="193">
        <f t="shared" ref="I204:I246" si="47">H204/G204*100</f>
        <v>100</v>
      </c>
    </row>
    <row r="205" spans="1:9" ht="28.5">
      <c r="A205" s="138">
        <v>153</v>
      </c>
      <c r="B205" s="82" t="s">
        <v>295</v>
      </c>
      <c r="C205" s="141">
        <v>8500000000</v>
      </c>
      <c r="D205" s="138"/>
      <c r="E205" s="146"/>
      <c r="F205" s="56">
        <f t="shared" ref="F205:H205" si="48">F206</f>
        <v>46812095.120000005</v>
      </c>
      <c r="G205" s="56">
        <f t="shared" si="48"/>
        <v>46812095.120000005</v>
      </c>
      <c r="H205" s="56">
        <f t="shared" si="48"/>
        <v>43879578.470000014</v>
      </c>
      <c r="I205" s="194">
        <f t="shared" si="47"/>
        <v>93.735557781631726</v>
      </c>
    </row>
    <row r="206" spans="1:9">
      <c r="A206" s="138">
        <v>154</v>
      </c>
      <c r="B206" s="62" t="s">
        <v>254</v>
      </c>
      <c r="C206" s="141">
        <v>8510000000</v>
      </c>
      <c r="D206" s="141"/>
      <c r="E206" s="152"/>
      <c r="F206" s="41">
        <f>F207+F208+F209+F210+F211+F212+F213+F214+F215+F216+F217+F218+F220+F221+F222+F225+F226+F223+F224</f>
        <v>46812095.120000005</v>
      </c>
      <c r="G206" s="41">
        <f t="shared" ref="G206:H206" si="49">G207+G208+G209+G210+G211+G212+G213+G214+G215+G216+G217+G218+G220+G221+G222+G225+G226+G223+G224</f>
        <v>46812095.120000005</v>
      </c>
      <c r="H206" s="41">
        <f t="shared" si="49"/>
        <v>43879578.470000014</v>
      </c>
      <c r="I206" s="194">
        <f t="shared" si="47"/>
        <v>93.735557781631726</v>
      </c>
    </row>
    <row r="207" spans="1:9" ht="30">
      <c r="A207" s="138">
        <v>155</v>
      </c>
      <c r="B207" s="139" t="s">
        <v>255</v>
      </c>
      <c r="C207" s="138">
        <v>8510000210</v>
      </c>
      <c r="D207" s="138">
        <v>120</v>
      </c>
      <c r="E207" s="146" t="s">
        <v>87</v>
      </c>
      <c r="F207" s="29">
        <f>'приложение 4'!G125</f>
        <v>2618169.4499999997</v>
      </c>
      <c r="G207" s="29">
        <f>'приложение 4'!H125</f>
        <v>2618169.4500000002</v>
      </c>
      <c r="H207" s="29">
        <f>'приложение 4'!I125</f>
        <v>2572448.37</v>
      </c>
      <c r="I207" s="193">
        <f t="shared" si="47"/>
        <v>98.253700500553919</v>
      </c>
    </row>
    <row r="208" spans="1:9" ht="27" customHeight="1">
      <c r="A208" s="218">
        <v>156</v>
      </c>
      <c r="B208" s="207" t="s">
        <v>372</v>
      </c>
      <c r="C208" s="222" t="s">
        <v>258</v>
      </c>
      <c r="D208" s="138">
        <v>120</v>
      </c>
      <c r="E208" s="146" t="s">
        <v>90</v>
      </c>
      <c r="F208" s="29">
        <f>'приложение 4'!G131</f>
        <v>28518726.190000001</v>
      </c>
      <c r="G208" s="29">
        <f>'приложение 4'!H131</f>
        <v>28518726.190000001</v>
      </c>
      <c r="H208" s="29">
        <f>'приложение 4'!I131</f>
        <v>28254747.510000002</v>
      </c>
      <c r="I208" s="193">
        <f t="shared" si="47"/>
        <v>99.074367213173204</v>
      </c>
    </row>
    <row r="209" spans="1:9" ht="21.75" customHeight="1">
      <c r="A209" s="230"/>
      <c r="B209" s="207"/>
      <c r="C209" s="222"/>
      <c r="D209" s="138">
        <v>240</v>
      </c>
      <c r="E209" s="146" t="s">
        <v>90</v>
      </c>
      <c r="F209" s="29">
        <f>'приложение 4'!G133</f>
        <v>6675288.8499999996</v>
      </c>
      <c r="G209" s="29">
        <f>'приложение 4'!H133</f>
        <v>6675288.8499999996</v>
      </c>
      <c r="H209" s="29">
        <f>'приложение 4'!I133</f>
        <v>4639493.1100000003</v>
      </c>
      <c r="I209" s="193">
        <f t="shared" si="47"/>
        <v>69.50250714618889</v>
      </c>
    </row>
    <row r="210" spans="1:9" ht="28.5" customHeight="1">
      <c r="A210" s="219"/>
      <c r="B210" s="207"/>
      <c r="C210" s="222"/>
      <c r="D210" s="138">
        <v>850</v>
      </c>
      <c r="E210" s="146" t="s">
        <v>90</v>
      </c>
      <c r="F210" s="29">
        <f>'приложение 4'!G135</f>
        <v>987246.15</v>
      </c>
      <c r="G210" s="29">
        <f>'приложение 4'!H135</f>
        <v>987246.15</v>
      </c>
      <c r="H210" s="29">
        <f>'приложение 4'!I135</f>
        <v>987246.15</v>
      </c>
      <c r="I210" s="193">
        <f t="shared" si="47"/>
        <v>100</v>
      </c>
    </row>
    <row r="211" spans="1:9" ht="62.25" customHeight="1">
      <c r="A211" s="138">
        <v>157</v>
      </c>
      <c r="B211" s="153" t="s">
        <v>374</v>
      </c>
      <c r="C211" s="146" t="str">
        <f>'приложение 4'!E136</f>
        <v>8510000250</v>
      </c>
      <c r="D211" s="138">
        <v>120</v>
      </c>
      <c r="E211" s="146" t="s">
        <v>90</v>
      </c>
      <c r="F211" s="29">
        <f>'приложение 4'!G138</f>
        <v>4333376.03</v>
      </c>
      <c r="G211" s="29">
        <f>'приложение 4'!H138</f>
        <v>4333376.03</v>
      </c>
      <c r="H211" s="29">
        <f>'приложение 4'!I138</f>
        <v>4327716.0999999996</v>
      </c>
      <c r="I211" s="193">
        <f t="shared" si="47"/>
        <v>99.869387517704055</v>
      </c>
    </row>
    <row r="212" spans="1:9" ht="60">
      <c r="A212" s="138">
        <v>158</v>
      </c>
      <c r="B212" s="153" t="s">
        <v>398</v>
      </c>
      <c r="C212" s="138">
        <v>8510051200</v>
      </c>
      <c r="D212" s="138">
        <v>240</v>
      </c>
      <c r="E212" s="146" t="s">
        <v>158</v>
      </c>
      <c r="F212" s="29">
        <f>'приложение 4'!G144</f>
        <v>13800</v>
      </c>
      <c r="G212" s="29">
        <f>'приложение 4'!H144</f>
        <v>13800</v>
      </c>
      <c r="H212" s="29">
        <f>'приложение 4'!I144</f>
        <v>13800</v>
      </c>
      <c r="I212" s="193">
        <f t="shared" si="47"/>
        <v>100</v>
      </c>
    </row>
    <row r="213" spans="1:9">
      <c r="A213" s="138">
        <v>159</v>
      </c>
      <c r="B213" s="33" t="s">
        <v>33</v>
      </c>
      <c r="C213" s="138">
        <v>8510010110</v>
      </c>
      <c r="D213" s="138">
        <v>870</v>
      </c>
      <c r="E213" s="146" t="s">
        <v>92</v>
      </c>
      <c r="F213" s="29">
        <f>'приложение 4'!G150</f>
        <v>150000</v>
      </c>
      <c r="G213" s="29">
        <f>'приложение 4'!H150</f>
        <v>150000</v>
      </c>
      <c r="H213" s="29">
        <f>'приложение 4'!I150</f>
        <v>0</v>
      </c>
      <c r="I213" s="193">
        <f t="shared" si="47"/>
        <v>0</v>
      </c>
    </row>
    <row r="214" spans="1:9" ht="23.25" customHeight="1">
      <c r="A214" s="206">
        <v>160</v>
      </c>
      <c r="B214" s="226" t="s">
        <v>35</v>
      </c>
      <c r="C214" s="206">
        <v>8510074290</v>
      </c>
      <c r="D214" s="138">
        <v>120</v>
      </c>
      <c r="E214" s="146" t="s">
        <v>93</v>
      </c>
      <c r="F214" s="29">
        <f>'приложение 4'!G156</f>
        <v>39709.64</v>
      </c>
      <c r="G214" s="29">
        <f>'приложение 4'!H156</f>
        <v>39709.64</v>
      </c>
      <c r="H214" s="29">
        <f>'приложение 4'!I156</f>
        <v>27805.1</v>
      </c>
      <c r="I214" s="193">
        <f t="shared" si="47"/>
        <v>70.021032676196498</v>
      </c>
    </row>
    <row r="215" spans="1:9" ht="40.5" customHeight="1">
      <c r="A215" s="206"/>
      <c r="B215" s="226"/>
      <c r="C215" s="206"/>
      <c r="D215" s="138">
        <v>240</v>
      </c>
      <c r="E215" s="146" t="s">
        <v>93</v>
      </c>
      <c r="F215" s="29">
        <f>'приложение 4'!G158</f>
        <v>2190.36</v>
      </c>
      <c r="G215" s="29">
        <f>'приложение 4'!H158</f>
        <v>2190.36</v>
      </c>
      <c r="H215" s="29">
        <f>'приложение 4'!I158</f>
        <v>2190.36</v>
      </c>
      <c r="I215" s="193">
        <f t="shared" si="47"/>
        <v>100</v>
      </c>
    </row>
    <row r="216" spans="1:9" ht="24.75" customHeight="1">
      <c r="A216" s="206">
        <v>161</v>
      </c>
      <c r="B216" s="207" t="s">
        <v>29</v>
      </c>
      <c r="C216" s="206">
        <v>8510076040</v>
      </c>
      <c r="D216" s="138">
        <v>120</v>
      </c>
      <c r="E216" s="146" t="s">
        <v>93</v>
      </c>
      <c r="F216" s="29">
        <f>'приложение 4'!G161</f>
        <v>929965.23</v>
      </c>
      <c r="G216" s="29">
        <f>'приложение 4'!H161</f>
        <v>929965.23</v>
      </c>
      <c r="H216" s="29">
        <f>'приложение 4'!I161</f>
        <v>922246.34</v>
      </c>
      <c r="I216" s="193">
        <f t="shared" si="47"/>
        <v>99.169980795948689</v>
      </c>
    </row>
    <row r="217" spans="1:9" ht="36.75" customHeight="1">
      <c r="A217" s="206"/>
      <c r="B217" s="207"/>
      <c r="C217" s="206"/>
      <c r="D217" s="138">
        <v>240</v>
      </c>
      <c r="E217" s="146" t="s">
        <v>93</v>
      </c>
      <c r="F217" s="29">
        <f>'приложение 4'!G163</f>
        <v>65433.77</v>
      </c>
      <c r="G217" s="29">
        <f>'приложение 4'!H163</f>
        <v>65433.77</v>
      </c>
      <c r="H217" s="29">
        <f>'приложение 4'!I163</f>
        <v>65353</v>
      </c>
      <c r="I217" s="193">
        <f t="shared" si="47"/>
        <v>99.876562209391267</v>
      </c>
    </row>
    <row r="218" spans="1:9" ht="26.25" customHeight="1">
      <c r="A218" s="218">
        <v>162</v>
      </c>
      <c r="B218" s="247" t="s">
        <v>36</v>
      </c>
      <c r="C218" s="218">
        <v>8510092020</v>
      </c>
      <c r="D218" s="218">
        <v>830</v>
      </c>
      <c r="E218" s="214" t="s">
        <v>93</v>
      </c>
      <c r="F218" s="202">
        <f>'приложение 4'!G166</f>
        <v>500000</v>
      </c>
      <c r="G218" s="202">
        <f>'приложение 4'!H166</f>
        <v>500000</v>
      </c>
      <c r="H218" s="202">
        <f>'приложение 4'!I166</f>
        <v>351441.02</v>
      </c>
      <c r="I218" s="208">
        <f t="shared" si="47"/>
        <v>70.288203999999993</v>
      </c>
    </row>
    <row r="219" spans="1:9" ht="42.75" customHeight="1">
      <c r="A219" s="219"/>
      <c r="B219" s="248"/>
      <c r="C219" s="219"/>
      <c r="D219" s="219"/>
      <c r="E219" s="215"/>
      <c r="F219" s="203"/>
      <c r="G219" s="203"/>
      <c r="H219" s="203"/>
      <c r="I219" s="209"/>
    </row>
    <row r="220" spans="1:9" ht="42" customHeight="1">
      <c r="A220" s="138">
        <v>163</v>
      </c>
      <c r="B220" s="139" t="s">
        <v>242</v>
      </c>
      <c r="C220" s="138" t="s">
        <v>261</v>
      </c>
      <c r="D220" s="138">
        <v>240</v>
      </c>
      <c r="E220" s="146" t="s">
        <v>93</v>
      </c>
      <c r="F220" s="29">
        <f>'приложение 4'!G169</f>
        <v>197672.93</v>
      </c>
      <c r="G220" s="29">
        <f>'приложение 4'!H169</f>
        <v>197672.93</v>
      </c>
      <c r="H220" s="29">
        <f>'приложение 4'!I169</f>
        <v>197672.93</v>
      </c>
      <c r="I220" s="193">
        <f t="shared" si="47"/>
        <v>100</v>
      </c>
    </row>
    <row r="221" spans="1:9">
      <c r="A221" s="206">
        <v>164</v>
      </c>
      <c r="B221" s="207" t="s">
        <v>385</v>
      </c>
      <c r="C221" s="225">
        <f>'приложение 4'!E306</f>
        <v>8510002890</v>
      </c>
      <c r="D221" s="138">
        <v>120</v>
      </c>
      <c r="E221" s="222" t="s">
        <v>127</v>
      </c>
      <c r="F221" s="29">
        <f>'приложение 4'!G307</f>
        <v>929966.23</v>
      </c>
      <c r="G221" s="29">
        <f>'приложение 4'!H307</f>
        <v>929966.23</v>
      </c>
      <c r="H221" s="29">
        <f>'приложение 4'!I307</f>
        <v>928884.7</v>
      </c>
      <c r="I221" s="193">
        <f t="shared" si="47"/>
        <v>99.883702228628238</v>
      </c>
    </row>
    <row r="222" spans="1:9" ht="36" customHeight="1">
      <c r="A222" s="206"/>
      <c r="B222" s="207"/>
      <c r="C222" s="225"/>
      <c r="D222" s="138">
        <v>240</v>
      </c>
      <c r="E222" s="222"/>
      <c r="F222" s="29">
        <f>'приложение 4'!G309</f>
        <v>141433.76999999999</v>
      </c>
      <c r="G222" s="29">
        <f>'приложение 4'!H309</f>
        <v>141433.76999999999</v>
      </c>
      <c r="H222" s="29">
        <f>'приложение 4'!I309</f>
        <v>30000</v>
      </c>
      <c r="I222" s="193">
        <f t="shared" si="47"/>
        <v>21.211341534627834</v>
      </c>
    </row>
    <row r="223" spans="1:9">
      <c r="A223" s="218">
        <v>165</v>
      </c>
      <c r="B223" s="244" t="s">
        <v>458</v>
      </c>
      <c r="C223" s="246">
        <f>'приложение 4'!E310</f>
        <v>8510078460</v>
      </c>
      <c r="D223" s="138">
        <v>120</v>
      </c>
      <c r="E223" s="214" t="s">
        <v>127</v>
      </c>
      <c r="F223" s="29">
        <f>'приложение 4'!G312</f>
        <v>50184.58</v>
      </c>
      <c r="G223" s="29">
        <f>'приложение 4'!H312</f>
        <v>50184.58</v>
      </c>
      <c r="H223" s="29">
        <f>'приложение 4'!I312</f>
        <v>41869.53</v>
      </c>
      <c r="I223" s="193">
        <f t="shared" si="47"/>
        <v>83.431065877207701</v>
      </c>
    </row>
    <row r="224" spans="1:9">
      <c r="A224" s="219"/>
      <c r="B224" s="245"/>
      <c r="C224" s="241"/>
      <c r="D224" s="138">
        <v>240</v>
      </c>
      <c r="E224" s="215"/>
      <c r="F224" s="29">
        <f>'приложение 4'!G314</f>
        <v>1315.42</v>
      </c>
      <c r="G224" s="29">
        <f>'приложение 4'!H314</f>
        <v>1315.42</v>
      </c>
      <c r="H224" s="29">
        <f>'приложение 4'!I314</f>
        <v>0</v>
      </c>
      <c r="I224" s="193">
        <f t="shared" si="47"/>
        <v>0</v>
      </c>
    </row>
    <row r="225" spans="1:9" ht="34.5" customHeight="1">
      <c r="A225" s="138">
        <v>166</v>
      </c>
      <c r="B225" s="153" t="s">
        <v>404</v>
      </c>
      <c r="C225" s="147">
        <f>'приложение 4'!E172</f>
        <v>8510084570</v>
      </c>
      <c r="D225" s="138">
        <v>240</v>
      </c>
      <c r="E225" s="146" t="s">
        <v>93</v>
      </c>
      <c r="F225" s="29">
        <f>'приложение 4'!G172</f>
        <v>57616.52</v>
      </c>
      <c r="G225" s="29">
        <f>'приложение 4'!H172</f>
        <v>57616.52</v>
      </c>
      <c r="H225" s="29">
        <f>'приложение 4'!I172</f>
        <v>39998</v>
      </c>
      <c r="I225" s="193">
        <f t="shared" si="47"/>
        <v>69.42106187600362</v>
      </c>
    </row>
    <row r="226" spans="1:9" ht="48" customHeight="1">
      <c r="A226" s="138">
        <v>167</v>
      </c>
      <c r="B226" s="153" t="s">
        <v>425</v>
      </c>
      <c r="C226" s="147">
        <f>'приложение 4'!E175</f>
        <v>8510084580</v>
      </c>
      <c r="D226" s="138">
        <v>240</v>
      </c>
      <c r="E226" s="146" t="s">
        <v>93</v>
      </c>
      <c r="F226" s="29">
        <f>'приложение 4'!G175</f>
        <v>600000</v>
      </c>
      <c r="G226" s="29">
        <f>'приложение 4'!H175</f>
        <v>600000</v>
      </c>
      <c r="H226" s="29">
        <f>'приложение 4'!I175</f>
        <v>476666.25</v>
      </c>
      <c r="I226" s="193">
        <f t="shared" si="47"/>
        <v>79.444374999999994</v>
      </c>
    </row>
    <row r="227" spans="1:9">
      <c r="A227" s="138">
        <v>168</v>
      </c>
      <c r="B227" s="86" t="s">
        <v>296</v>
      </c>
      <c r="C227" s="141">
        <v>9100000000</v>
      </c>
      <c r="D227" s="138"/>
      <c r="E227" s="146"/>
      <c r="F227" s="56">
        <f>F231+F235+F228</f>
        <v>80238933.229999989</v>
      </c>
      <c r="G227" s="56">
        <f t="shared" ref="G227:H227" si="50">G231+G235+G228</f>
        <v>80270533.229999989</v>
      </c>
      <c r="H227" s="56">
        <f t="shared" si="50"/>
        <v>80237246.409999982</v>
      </c>
      <c r="I227" s="194">
        <f t="shared" si="47"/>
        <v>99.958531706890966</v>
      </c>
    </row>
    <row r="228" spans="1:9" ht="24.6" customHeight="1">
      <c r="A228" s="138">
        <v>169</v>
      </c>
      <c r="B228" s="154" t="s">
        <v>519</v>
      </c>
      <c r="C228" s="141">
        <v>9140000000</v>
      </c>
      <c r="D228" s="138"/>
      <c r="E228" s="146"/>
      <c r="F228" s="41">
        <f>F229+F230</f>
        <v>121700</v>
      </c>
      <c r="G228" s="41">
        <f t="shared" ref="G228:H228" si="51">G229+G230</f>
        <v>153300</v>
      </c>
      <c r="H228" s="41">
        <f t="shared" si="51"/>
        <v>153300</v>
      </c>
      <c r="I228" s="194">
        <f t="shared" si="47"/>
        <v>100</v>
      </c>
    </row>
    <row r="229" spans="1:9" ht="53.45" customHeight="1">
      <c r="A229" s="218">
        <v>170</v>
      </c>
      <c r="B229" s="220" t="s">
        <v>520</v>
      </c>
      <c r="C229" s="235" t="s">
        <v>515</v>
      </c>
      <c r="D229" s="218">
        <v>610</v>
      </c>
      <c r="E229" s="146" t="s">
        <v>115</v>
      </c>
      <c r="F229" s="29">
        <f>'приложение 4'!G423</f>
        <v>58900</v>
      </c>
      <c r="G229" s="29">
        <f>'приложение 4'!H423</f>
        <v>80775.58</v>
      </c>
      <c r="H229" s="29">
        <f>'приложение 4'!I423</f>
        <v>80775.58</v>
      </c>
      <c r="I229" s="193">
        <f t="shared" si="47"/>
        <v>100</v>
      </c>
    </row>
    <row r="230" spans="1:9" ht="30.6" customHeight="1">
      <c r="A230" s="219"/>
      <c r="B230" s="221"/>
      <c r="C230" s="236"/>
      <c r="D230" s="219"/>
      <c r="E230" s="146" t="s">
        <v>116</v>
      </c>
      <c r="F230" s="29">
        <f>'приложение 4'!G467</f>
        <v>62800</v>
      </c>
      <c r="G230" s="29">
        <f>'приложение 4'!H467</f>
        <v>72524.42</v>
      </c>
      <c r="H230" s="29">
        <f>'приложение 4'!I467</f>
        <v>72524.42</v>
      </c>
      <c r="I230" s="193">
        <f t="shared" si="47"/>
        <v>100</v>
      </c>
    </row>
    <row r="231" spans="1:9" ht="30">
      <c r="A231" s="138">
        <v>171</v>
      </c>
      <c r="B231" s="154" t="s">
        <v>280</v>
      </c>
      <c r="C231" s="141">
        <v>9150000000</v>
      </c>
      <c r="D231" s="141"/>
      <c r="E231" s="152"/>
      <c r="F231" s="41">
        <f t="shared" ref="F231:G231" si="52">F232+F233+F234</f>
        <v>9257298</v>
      </c>
      <c r="G231" s="41">
        <f t="shared" si="52"/>
        <v>9257298</v>
      </c>
      <c r="H231" s="41">
        <f t="shared" ref="H231" si="53">H232+H233+H234</f>
        <v>9233288.3199999984</v>
      </c>
      <c r="I231" s="194">
        <f t="shared" si="47"/>
        <v>99.740640519512269</v>
      </c>
    </row>
    <row r="232" spans="1:9">
      <c r="A232" s="206">
        <v>172</v>
      </c>
      <c r="B232" s="207" t="s">
        <v>297</v>
      </c>
      <c r="C232" s="206">
        <v>9150000620</v>
      </c>
      <c r="D232" s="138">
        <v>110</v>
      </c>
      <c r="E232" s="146" t="s">
        <v>93</v>
      </c>
      <c r="F232" s="29">
        <f>'приложение 4'!G388</f>
        <v>8782442</v>
      </c>
      <c r="G232" s="29">
        <f>'приложение 4'!H388</f>
        <v>8782442</v>
      </c>
      <c r="H232" s="29">
        <f>'приложение 4'!I388</f>
        <v>8759188.6199999992</v>
      </c>
      <c r="I232" s="193">
        <f t="shared" si="47"/>
        <v>99.735228766668754</v>
      </c>
    </row>
    <row r="233" spans="1:9">
      <c r="A233" s="206"/>
      <c r="B233" s="207"/>
      <c r="C233" s="206"/>
      <c r="D233" s="138">
        <v>240</v>
      </c>
      <c r="E233" s="146" t="s">
        <v>93</v>
      </c>
      <c r="F233" s="29">
        <f>'приложение 4'!G390</f>
        <v>474356</v>
      </c>
      <c r="G233" s="29">
        <f>'приложение 4'!H390</f>
        <v>474356</v>
      </c>
      <c r="H233" s="29">
        <f>'приложение 4'!I390</f>
        <v>474099.7</v>
      </c>
      <c r="I233" s="193">
        <f t="shared" si="47"/>
        <v>99.945968850399282</v>
      </c>
    </row>
    <row r="234" spans="1:9">
      <c r="A234" s="206"/>
      <c r="B234" s="207"/>
      <c r="C234" s="206"/>
      <c r="D234" s="138">
        <v>850</v>
      </c>
      <c r="E234" s="146" t="s">
        <v>93</v>
      </c>
      <c r="F234" s="29">
        <f>'приложение 4'!G392</f>
        <v>500</v>
      </c>
      <c r="G234" s="29">
        <f>'приложение 4'!H392</f>
        <v>500</v>
      </c>
      <c r="H234" s="29">
        <f>'приложение 4'!I392</f>
        <v>0</v>
      </c>
      <c r="I234" s="193">
        <f t="shared" si="47"/>
        <v>0</v>
      </c>
    </row>
    <row r="235" spans="1:9" ht="30">
      <c r="A235" s="138">
        <v>173</v>
      </c>
      <c r="B235" s="154" t="s">
        <v>272</v>
      </c>
      <c r="C235" s="141">
        <v>9170000000</v>
      </c>
      <c r="D235" s="141"/>
      <c r="E235" s="152"/>
      <c r="F235" s="41">
        <f>F236+F237+F238+F239+F240</f>
        <v>70859935.229999989</v>
      </c>
      <c r="G235" s="41">
        <f>G236+G237+G238+G239+G240</f>
        <v>70859935.229999989</v>
      </c>
      <c r="H235" s="41">
        <f>H236+H237+H238+H239+H240</f>
        <v>70850658.089999989</v>
      </c>
      <c r="I235" s="194">
        <f t="shared" si="47"/>
        <v>99.986907778041441</v>
      </c>
    </row>
    <row r="236" spans="1:9">
      <c r="A236" s="206">
        <v>174</v>
      </c>
      <c r="B236" s="207" t="s">
        <v>297</v>
      </c>
      <c r="C236" s="222" t="s">
        <v>274</v>
      </c>
      <c r="D236" s="138">
        <v>110</v>
      </c>
      <c r="E236" s="146" t="s">
        <v>93</v>
      </c>
      <c r="F236" s="29">
        <f>'приложение 4'!G371</f>
        <v>67294921.489999995</v>
      </c>
      <c r="G236" s="29">
        <f>'приложение 4'!H371</f>
        <v>67294921.489999995</v>
      </c>
      <c r="H236" s="29">
        <f>'приложение 4'!I371</f>
        <v>67285743.709999993</v>
      </c>
      <c r="I236" s="193">
        <f t="shared" si="47"/>
        <v>99.986361853470086</v>
      </c>
    </row>
    <row r="237" spans="1:9">
      <c r="A237" s="206"/>
      <c r="B237" s="207"/>
      <c r="C237" s="222"/>
      <c r="D237" s="138">
        <v>240</v>
      </c>
      <c r="E237" s="146" t="s">
        <v>93</v>
      </c>
      <c r="F237" s="29">
        <f>'приложение 4'!G373</f>
        <v>2229474.88</v>
      </c>
      <c r="G237" s="29">
        <f>'приложение 4'!H373</f>
        <v>2229474.88</v>
      </c>
      <c r="H237" s="29">
        <f>'приложение 4'!I373</f>
        <v>2229474.88</v>
      </c>
      <c r="I237" s="193">
        <f t="shared" si="47"/>
        <v>100</v>
      </c>
    </row>
    <row r="238" spans="1:9">
      <c r="A238" s="206"/>
      <c r="B238" s="207"/>
      <c r="C238" s="222"/>
      <c r="D238" s="138">
        <v>850</v>
      </c>
      <c r="E238" s="146" t="s">
        <v>93</v>
      </c>
      <c r="F238" s="29">
        <f>'приложение 4'!G375</f>
        <v>23703.360000000001</v>
      </c>
      <c r="G238" s="29">
        <f>'приложение 4'!H375</f>
        <v>23703.360000000001</v>
      </c>
      <c r="H238" s="29">
        <f>'приложение 4'!I375</f>
        <v>23604</v>
      </c>
      <c r="I238" s="193">
        <f t="shared" si="47"/>
        <v>99.580818921874368</v>
      </c>
    </row>
    <row r="239" spans="1:9" ht="24" customHeight="1">
      <c r="A239" s="206">
        <v>175</v>
      </c>
      <c r="B239" s="232" t="s">
        <v>324</v>
      </c>
      <c r="C239" s="222" t="str">
        <f>'приложение 4'!E377</f>
        <v>9170084560</v>
      </c>
      <c r="D239" s="138">
        <v>110</v>
      </c>
      <c r="E239" s="146" t="s">
        <v>93</v>
      </c>
      <c r="F239" s="29">
        <f>'приложение 4'!G378</f>
        <v>1263825.5</v>
      </c>
      <c r="G239" s="29">
        <f>'приложение 4'!H378</f>
        <v>1263825.5</v>
      </c>
      <c r="H239" s="29">
        <f>'приложение 4'!I378</f>
        <v>1263825.5</v>
      </c>
      <c r="I239" s="193">
        <f t="shared" si="47"/>
        <v>100</v>
      </c>
    </row>
    <row r="240" spans="1:9" ht="29.25" customHeight="1">
      <c r="A240" s="206"/>
      <c r="B240" s="232"/>
      <c r="C240" s="222"/>
      <c r="D240" s="138">
        <v>240</v>
      </c>
      <c r="E240" s="146" t="s">
        <v>93</v>
      </c>
      <c r="F240" s="29">
        <f>'приложение 4'!G380</f>
        <v>48010</v>
      </c>
      <c r="G240" s="29">
        <f>'приложение 4'!H380</f>
        <v>48010</v>
      </c>
      <c r="H240" s="29">
        <f>'приложение 4'!I380</f>
        <v>48010</v>
      </c>
      <c r="I240" s="193">
        <f t="shared" si="47"/>
        <v>100</v>
      </c>
    </row>
    <row r="241" spans="1:9" ht="28.5">
      <c r="A241" s="138">
        <v>176</v>
      </c>
      <c r="B241" s="82" t="s">
        <v>225</v>
      </c>
      <c r="C241" s="141">
        <v>9200000000</v>
      </c>
      <c r="D241" s="138"/>
      <c r="E241" s="146"/>
      <c r="F241" s="56">
        <f t="shared" ref="F241:H241" si="54">F242</f>
        <v>2379782.19</v>
      </c>
      <c r="G241" s="56">
        <f t="shared" si="54"/>
        <v>2379782.19</v>
      </c>
      <c r="H241" s="56">
        <f t="shared" si="54"/>
        <v>2379702.42</v>
      </c>
      <c r="I241" s="195">
        <f t="shared" si="47"/>
        <v>99.996648012564549</v>
      </c>
    </row>
    <row r="242" spans="1:9" ht="30">
      <c r="A242" s="138">
        <v>177</v>
      </c>
      <c r="B242" s="154" t="s">
        <v>259</v>
      </c>
      <c r="C242" s="141">
        <v>9210000000</v>
      </c>
      <c r="D242" s="141"/>
      <c r="E242" s="152"/>
      <c r="F242" s="41">
        <f>F243+F244+F245</f>
        <v>2379782.19</v>
      </c>
      <c r="G242" s="41">
        <f t="shared" ref="G242:H242" si="55">G243+G244+G245</f>
        <v>2379782.19</v>
      </c>
      <c r="H242" s="41">
        <f t="shared" si="55"/>
        <v>2379702.42</v>
      </c>
      <c r="I242" s="195">
        <f t="shared" si="47"/>
        <v>99.996648012564549</v>
      </c>
    </row>
    <row r="243" spans="1:9" ht="60">
      <c r="A243" s="138">
        <v>178</v>
      </c>
      <c r="B243" s="139" t="s">
        <v>397</v>
      </c>
      <c r="C243" s="138">
        <v>9210075140</v>
      </c>
      <c r="D243" s="138">
        <v>530</v>
      </c>
      <c r="E243" s="146" t="s">
        <v>93</v>
      </c>
      <c r="F243" s="29">
        <f>'приложение 4'!G34</f>
        <v>96200</v>
      </c>
      <c r="G243" s="29">
        <f>'приложение 4'!H34</f>
        <v>96200</v>
      </c>
      <c r="H243" s="29">
        <f>'приложение 4'!I34</f>
        <v>96120.23</v>
      </c>
      <c r="I243" s="193">
        <f t="shared" si="47"/>
        <v>99.917079002079007</v>
      </c>
    </row>
    <row r="244" spans="1:9" ht="45">
      <c r="A244" s="138">
        <v>179</v>
      </c>
      <c r="B244" s="148" t="s">
        <v>368</v>
      </c>
      <c r="C244" s="138">
        <v>9210051180</v>
      </c>
      <c r="D244" s="138">
        <v>530</v>
      </c>
      <c r="E244" s="146" t="s">
        <v>96</v>
      </c>
      <c r="F244" s="29">
        <f>'приложение 4'!G41</f>
        <v>2277500</v>
      </c>
      <c r="G244" s="29">
        <f>'приложение 4'!H41</f>
        <v>2277500</v>
      </c>
      <c r="H244" s="29">
        <f>'приложение 4'!I41</f>
        <v>2277500</v>
      </c>
      <c r="I244" s="193">
        <f t="shared" si="47"/>
        <v>100</v>
      </c>
    </row>
    <row r="245" spans="1:9">
      <c r="A245" s="138">
        <v>180</v>
      </c>
      <c r="B245" s="153" t="s">
        <v>410</v>
      </c>
      <c r="C245" s="147">
        <f>'приложение 4'!E92</f>
        <v>9210000910</v>
      </c>
      <c r="D245" s="138">
        <v>730</v>
      </c>
      <c r="E245" s="146" t="s">
        <v>409</v>
      </c>
      <c r="F245" s="29">
        <f>'приложение 4'!G92</f>
        <v>6082.1900000000023</v>
      </c>
      <c r="G245" s="29">
        <f>'приложение 4'!H92</f>
        <v>6082.19</v>
      </c>
      <c r="H245" s="29">
        <f>'приложение 4'!I92</f>
        <v>6082.19</v>
      </c>
      <c r="I245" s="193">
        <f t="shared" si="47"/>
        <v>100</v>
      </c>
    </row>
    <row r="246" spans="1:9">
      <c r="A246" s="138">
        <v>181</v>
      </c>
      <c r="B246" s="80" t="s">
        <v>148</v>
      </c>
      <c r="C246" s="53"/>
      <c r="D246" s="53"/>
      <c r="E246" s="54"/>
      <c r="F246" s="56">
        <f>F17+F46+F88+F98+F109+F129+F138+F150+F160+F172+F11+F190+F198+F205+F227+F241</f>
        <v>1394473533.4600005</v>
      </c>
      <c r="G246" s="56">
        <f>G17+G46+G88+G98+G109+G129+G138+G150+G160+G172+G11+G190+G198+G205+G227+G241</f>
        <v>1395419133.4600005</v>
      </c>
      <c r="H246" s="56">
        <f>H17+H46+H88+H98+H109+H129+H138+H150+H160+H172+H11+H190+H198+H205+H227+H241</f>
        <v>1357626502.3399997</v>
      </c>
      <c r="I246" s="194">
        <f t="shared" si="47"/>
        <v>97.291664546243368</v>
      </c>
    </row>
    <row r="247" spans="1:9">
      <c r="A247" s="83"/>
      <c r="B247" s="84"/>
      <c r="C247" s="85"/>
      <c r="D247" s="85"/>
      <c r="E247" s="85"/>
      <c r="F247" s="85"/>
      <c r="G247" s="85"/>
    </row>
    <row r="248" spans="1:9">
      <c r="A248" s="83"/>
      <c r="B248" s="84"/>
      <c r="C248" s="85"/>
      <c r="D248" s="85"/>
      <c r="E248" s="85"/>
      <c r="F248" s="117">
        <f>'приложение 4'!G660-'приложение 5'!F246</f>
        <v>0</v>
      </c>
      <c r="G248" s="117">
        <f>'приложение 4'!H660-'приложение 5'!G246</f>
        <v>0</v>
      </c>
      <c r="H248" s="117">
        <f>'приложение 4'!I660-'приложение 5'!H246</f>
        <v>0</v>
      </c>
    </row>
    <row r="249" spans="1:9">
      <c r="A249" s="83"/>
      <c r="B249" s="84"/>
      <c r="C249" s="85"/>
      <c r="D249" s="85"/>
      <c r="E249" s="85"/>
      <c r="F249" s="85"/>
      <c r="G249" s="85"/>
    </row>
    <row r="250" spans="1:9">
      <c r="A250" s="83"/>
      <c r="B250" s="84"/>
      <c r="C250" s="85"/>
      <c r="D250" s="85"/>
      <c r="E250" s="85"/>
      <c r="F250" s="85"/>
      <c r="G250" s="85"/>
    </row>
    <row r="251" spans="1:9">
      <c r="A251" s="83"/>
      <c r="B251" s="84"/>
      <c r="C251" s="85"/>
      <c r="D251" s="85"/>
      <c r="E251" s="85"/>
      <c r="F251" s="85"/>
      <c r="G251" s="85"/>
    </row>
    <row r="252" spans="1:9">
      <c r="A252" s="83"/>
      <c r="B252" s="84"/>
      <c r="C252" s="85"/>
      <c r="D252" s="85"/>
      <c r="E252" s="85"/>
      <c r="F252" s="85"/>
      <c r="G252" s="85"/>
    </row>
    <row r="253" spans="1:9">
      <c r="A253" s="83"/>
      <c r="B253" s="84"/>
      <c r="C253" s="85"/>
      <c r="D253" s="85"/>
      <c r="E253" s="85"/>
      <c r="F253" s="85"/>
      <c r="G253" s="85"/>
    </row>
    <row r="254" spans="1:9">
      <c r="A254" s="83"/>
      <c r="B254" s="84"/>
      <c r="C254" s="85"/>
      <c r="D254" s="85"/>
      <c r="E254" s="85"/>
      <c r="F254" s="85"/>
      <c r="G254" s="85"/>
    </row>
    <row r="255" spans="1:9">
      <c r="A255" s="83"/>
      <c r="B255" s="84"/>
      <c r="C255" s="85"/>
      <c r="D255" s="85"/>
      <c r="E255" s="85"/>
      <c r="F255" s="85"/>
      <c r="G255" s="85"/>
    </row>
    <row r="256" spans="1:9">
      <c r="A256" s="83"/>
      <c r="B256" s="84"/>
      <c r="C256" s="85"/>
      <c r="D256" s="85"/>
      <c r="E256" s="85"/>
      <c r="F256" s="85"/>
      <c r="G256" s="85"/>
    </row>
    <row r="257" spans="1:7">
      <c r="A257" s="83"/>
      <c r="B257" s="84"/>
      <c r="C257" s="85"/>
      <c r="D257" s="85"/>
      <c r="E257" s="85"/>
      <c r="F257" s="85"/>
      <c r="G257" s="85"/>
    </row>
    <row r="258" spans="1:7">
      <c r="A258" s="83"/>
      <c r="B258" s="84"/>
      <c r="C258" s="85"/>
      <c r="D258" s="85"/>
      <c r="E258" s="85"/>
      <c r="F258" s="85"/>
      <c r="G258" s="85"/>
    </row>
    <row r="259" spans="1:7">
      <c r="A259" s="83"/>
      <c r="B259" s="84"/>
      <c r="C259" s="85"/>
      <c r="D259" s="85"/>
      <c r="E259" s="85"/>
      <c r="F259" s="85"/>
      <c r="G259" s="85"/>
    </row>
    <row r="260" spans="1:7">
      <c r="A260" s="83"/>
      <c r="B260" s="84"/>
      <c r="C260" s="85"/>
      <c r="D260" s="85"/>
      <c r="E260" s="85"/>
      <c r="F260" s="85"/>
      <c r="G260" s="85"/>
    </row>
    <row r="261" spans="1:7">
      <c r="A261" s="83"/>
      <c r="B261" s="84"/>
      <c r="C261" s="85"/>
      <c r="D261" s="85"/>
      <c r="E261" s="85"/>
      <c r="F261" s="85"/>
      <c r="G261" s="85"/>
    </row>
    <row r="262" spans="1:7">
      <c r="A262" s="83"/>
      <c r="B262" s="84"/>
      <c r="C262" s="85"/>
      <c r="D262" s="85"/>
      <c r="E262" s="85"/>
      <c r="F262" s="85"/>
      <c r="G262" s="85"/>
    </row>
    <row r="263" spans="1:7">
      <c r="A263" s="83"/>
      <c r="B263" s="84"/>
      <c r="C263" s="85"/>
      <c r="D263" s="85"/>
      <c r="E263" s="85"/>
      <c r="F263" s="85"/>
      <c r="G263" s="85"/>
    </row>
    <row r="264" spans="1:7">
      <c r="A264" s="83"/>
      <c r="B264" s="84"/>
      <c r="C264" s="85"/>
      <c r="D264" s="85"/>
      <c r="E264" s="85"/>
      <c r="F264" s="85"/>
      <c r="G264" s="85"/>
    </row>
    <row r="265" spans="1:7">
      <c r="A265" s="83"/>
      <c r="B265" s="84"/>
      <c r="C265" s="85"/>
      <c r="D265" s="85"/>
      <c r="E265" s="85"/>
      <c r="F265" s="85"/>
      <c r="G265" s="85"/>
    </row>
    <row r="266" spans="1:7">
      <c r="A266" s="83"/>
      <c r="B266" s="84"/>
      <c r="C266" s="85"/>
      <c r="D266" s="85"/>
      <c r="E266" s="85"/>
      <c r="F266" s="85"/>
      <c r="G266" s="85"/>
    </row>
    <row r="267" spans="1:7">
      <c r="A267" s="83"/>
      <c r="B267" s="84"/>
      <c r="C267" s="85"/>
      <c r="D267" s="85"/>
      <c r="E267" s="85"/>
      <c r="F267" s="85"/>
      <c r="G267" s="85"/>
    </row>
    <row r="268" spans="1:7">
      <c r="A268" s="83"/>
      <c r="B268" s="84"/>
      <c r="C268" s="85"/>
      <c r="D268" s="85"/>
      <c r="E268" s="85"/>
      <c r="F268" s="85"/>
      <c r="G268" s="85"/>
    </row>
    <row r="269" spans="1:7">
      <c r="A269" s="83"/>
      <c r="B269" s="84"/>
      <c r="C269" s="85"/>
      <c r="D269" s="85"/>
      <c r="E269" s="85"/>
      <c r="F269" s="85"/>
      <c r="G269" s="85"/>
    </row>
    <row r="270" spans="1:7">
      <c r="A270" s="83"/>
      <c r="B270" s="84"/>
      <c r="C270" s="85"/>
      <c r="D270" s="85"/>
      <c r="E270" s="85"/>
      <c r="F270" s="85"/>
      <c r="G270" s="85"/>
    </row>
    <row r="271" spans="1:7">
      <c r="A271" s="83"/>
      <c r="B271" s="84"/>
      <c r="C271" s="85"/>
      <c r="D271" s="85"/>
      <c r="E271" s="85"/>
      <c r="F271" s="85"/>
      <c r="G271" s="85"/>
    </row>
    <row r="272" spans="1:7">
      <c r="A272" s="83"/>
      <c r="B272" s="84"/>
      <c r="C272" s="85"/>
      <c r="D272" s="85"/>
      <c r="E272" s="85"/>
      <c r="F272" s="85"/>
      <c r="G272" s="85"/>
    </row>
    <row r="273" spans="1:7">
      <c r="A273" s="83"/>
      <c r="B273" s="84"/>
      <c r="C273" s="85"/>
      <c r="D273" s="85"/>
      <c r="E273" s="85"/>
      <c r="F273" s="85"/>
      <c r="G273" s="85"/>
    </row>
    <row r="274" spans="1:7">
      <c r="A274" s="83"/>
      <c r="B274" s="84"/>
      <c r="C274" s="85"/>
      <c r="D274" s="85"/>
      <c r="E274" s="85"/>
      <c r="F274" s="85"/>
      <c r="G274" s="85"/>
    </row>
    <row r="275" spans="1:7">
      <c r="A275" s="83"/>
      <c r="B275" s="84"/>
      <c r="C275" s="85"/>
      <c r="D275" s="85"/>
      <c r="E275" s="85"/>
      <c r="F275" s="85"/>
      <c r="G275" s="85"/>
    </row>
    <row r="276" spans="1:7">
      <c r="A276" s="83"/>
      <c r="B276" s="84"/>
      <c r="C276" s="85"/>
      <c r="D276" s="85"/>
      <c r="E276" s="85"/>
      <c r="F276" s="85"/>
      <c r="G276" s="85"/>
    </row>
    <row r="277" spans="1:7">
      <c r="A277" s="83"/>
      <c r="B277" s="84"/>
      <c r="C277" s="85"/>
      <c r="D277" s="85"/>
      <c r="E277" s="85"/>
      <c r="F277" s="85"/>
      <c r="G277" s="85"/>
    </row>
    <row r="278" spans="1:7">
      <c r="A278" s="83"/>
      <c r="B278" s="84"/>
      <c r="C278" s="85"/>
      <c r="D278" s="85"/>
      <c r="E278" s="85"/>
      <c r="F278" s="85"/>
      <c r="G278" s="85"/>
    </row>
    <row r="279" spans="1:7">
      <c r="A279" s="83"/>
      <c r="B279" s="84"/>
      <c r="C279" s="85"/>
      <c r="D279" s="85"/>
      <c r="E279" s="85"/>
      <c r="F279" s="85"/>
      <c r="G279" s="85"/>
    </row>
    <row r="280" spans="1:7">
      <c r="A280" s="83"/>
      <c r="B280" s="84"/>
      <c r="C280" s="85"/>
      <c r="D280" s="85"/>
      <c r="E280" s="85"/>
      <c r="F280" s="85"/>
      <c r="G280" s="85"/>
    </row>
    <row r="281" spans="1:7">
      <c r="A281" s="83"/>
      <c r="B281" s="84"/>
      <c r="C281" s="85"/>
      <c r="D281" s="85"/>
      <c r="E281" s="85"/>
      <c r="F281" s="85"/>
      <c r="G281" s="85"/>
    </row>
    <row r="282" spans="1:7">
      <c r="A282" s="83"/>
      <c r="B282" s="84"/>
      <c r="C282" s="85"/>
      <c r="D282" s="85"/>
      <c r="E282" s="85"/>
      <c r="F282" s="85"/>
      <c r="G282" s="85"/>
    </row>
    <row r="283" spans="1:7">
      <c r="A283" s="83"/>
      <c r="B283" s="84"/>
      <c r="C283" s="85"/>
      <c r="D283" s="85"/>
      <c r="E283" s="85"/>
      <c r="F283" s="85"/>
      <c r="G283" s="85"/>
    </row>
    <row r="284" spans="1:7">
      <c r="A284" s="83"/>
      <c r="B284" s="84"/>
      <c r="C284" s="85"/>
      <c r="D284" s="85"/>
      <c r="E284" s="85"/>
      <c r="F284" s="85"/>
      <c r="G284" s="85"/>
    </row>
    <row r="285" spans="1:7">
      <c r="A285" s="83"/>
      <c r="B285" s="84"/>
      <c r="C285" s="85"/>
      <c r="D285" s="85"/>
      <c r="E285" s="85"/>
      <c r="F285" s="85"/>
      <c r="G285" s="85"/>
    </row>
    <row r="286" spans="1:7">
      <c r="A286" s="83"/>
      <c r="B286" s="84"/>
      <c r="C286" s="85"/>
      <c r="D286" s="85"/>
      <c r="E286" s="85"/>
      <c r="F286" s="85"/>
      <c r="G286" s="85"/>
    </row>
    <row r="287" spans="1:7">
      <c r="A287" s="83"/>
      <c r="B287" s="84"/>
      <c r="C287" s="85"/>
      <c r="D287" s="85"/>
      <c r="E287" s="85"/>
      <c r="F287" s="85"/>
      <c r="G287" s="85"/>
    </row>
    <row r="288" spans="1:7">
      <c r="A288" s="83"/>
      <c r="B288" s="84"/>
      <c r="C288" s="85"/>
      <c r="D288" s="85"/>
      <c r="E288" s="85"/>
      <c r="F288" s="85"/>
      <c r="G288" s="85"/>
    </row>
    <row r="289" spans="1:7">
      <c r="A289" s="83"/>
      <c r="B289" s="84"/>
      <c r="C289" s="85"/>
      <c r="D289" s="85"/>
      <c r="E289" s="85"/>
      <c r="F289" s="85"/>
      <c r="G289" s="85"/>
    </row>
    <row r="290" spans="1:7">
      <c r="A290" s="83"/>
      <c r="B290" s="84"/>
      <c r="C290" s="85"/>
      <c r="D290" s="85"/>
      <c r="E290" s="85"/>
      <c r="F290" s="85"/>
      <c r="G290" s="85"/>
    </row>
    <row r="291" spans="1:7">
      <c r="A291" s="83"/>
      <c r="B291" s="84"/>
      <c r="C291" s="85"/>
      <c r="D291" s="85"/>
      <c r="E291" s="85"/>
      <c r="F291" s="85"/>
      <c r="G291" s="85"/>
    </row>
    <row r="292" spans="1:7">
      <c r="A292" s="83"/>
      <c r="B292" s="84"/>
      <c r="C292" s="85"/>
      <c r="D292" s="85"/>
      <c r="E292" s="85"/>
      <c r="F292" s="85"/>
      <c r="G292" s="85"/>
    </row>
    <row r="293" spans="1:7">
      <c r="A293" s="83"/>
      <c r="B293" s="84"/>
      <c r="C293" s="85"/>
      <c r="D293" s="85"/>
      <c r="E293" s="85"/>
      <c r="F293" s="85"/>
      <c r="G293" s="85"/>
    </row>
    <row r="294" spans="1:7">
      <c r="A294" s="83"/>
      <c r="B294" s="84"/>
      <c r="C294" s="85"/>
      <c r="D294" s="85"/>
      <c r="E294" s="85"/>
      <c r="F294" s="85"/>
      <c r="G294" s="85"/>
    </row>
    <row r="295" spans="1:7">
      <c r="A295" s="83"/>
      <c r="B295" s="84"/>
      <c r="C295" s="85"/>
      <c r="D295" s="85"/>
      <c r="E295" s="85"/>
      <c r="F295" s="85"/>
      <c r="G295" s="85"/>
    </row>
    <row r="296" spans="1:7">
      <c r="A296" s="83"/>
      <c r="B296" s="84"/>
      <c r="C296" s="85"/>
      <c r="D296" s="85"/>
      <c r="E296" s="85"/>
      <c r="F296" s="85"/>
      <c r="G296" s="85"/>
    </row>
    <row r="297" spans="1:7">
      <c r="A297" s="83"/>
      <c r="B297" s="84"/>
      <c r="C297" s="85"/>
      <c r="D297" s="85"/>
      <c r="E297" s="85"/>
      <c r="F297" s="85"/>
      <c r="G297" s="85"/>
    </row>
    <row r="298" spans="1:7">
      <c r="A298" s="83"/>
      <c r="B298" s="84"/>
      <c r="C298" s="85"/>
      <c r="D298" s="85"/>
      <c r="E298" s="85"/>
      <c r="F298" s="85"/>
      <c r="G298" s="85"/>
    </row>
    <row r="299" spans="1:7">
      <c r="A299" s="83"/>
      <c r="B299" s="84"/>
      <c r="C299" s="85"/>
      <c r="D299" s="85"/>
      <c r="E299" s="85"/>
      <c r="F299" s="85"/>
      <c r="G299" s="85"/>
    </row>
    <row r="300" spans="1:7">
      <c r="A300" s="83"/>
      <c r="B300" s="84"/>
      <c r="C300" s="85"/>
      <c r="D300" s="85"/>
      <c r="E300" s="85"/>
      <c r="F300" s="85"/>
      <c r="G300" s="85"/>
    </row>
    <row r="301" spans="1:7">
      <c r="A301" s="83"/>
      <c r="B301" s="84"/>
      <c r="C301" s="85"/>
      <c r="D301" s="85"/>
      <c r="E301" s="85"/>
      <c r="F301" s="85"/>
      <c r="G301" s="85"/>
    </row>
    <row r="302" spans="1:7">
      <c r="A302" s="83"/>
      <c r="B302" s="84"/>
      <c r="C302" s="85"/>
      <c r="D302" s="85"/>
      <c r="E302" s="85"/>
      <c r="F302" s="85"/>
      <c r="G302" s="85"/>
    </row>
    <row r="303" spans="1:7">
      <c r="A303" s="83"/>
      <c r="B303" s="84"/>
      <c r="C303" s="85"/>
      <c r="D303" s="85"/>
      <c r="E303" s="85"/>
      <c r="F303" s="85"/>
      <c r="G303" s="85"/>
    </row>
    <row r="304" spans="1:7">
      <c r="A304" s="83"/>
      <c r="B304" s="84"/>
      <c r="C304" s="85"/>
      <c r="D304" s="85"/>
      <c r="E304" s="85"/>
      <c r="F304" s="85"/>
      <c r="G304" s="85"/>
    </row>
    <row r="305" spans="1:7">
      <c r="A305" s="83"/>
      <c r="B305" s="84"/>
      <c r="C305" s="85"/>
      <c r="D305" s="85"/>
      <c r="E305" s="85"/>
      <c r="F305" s="85"/>
      <c r="G305" s="85"/>
    </row>
    <row r="306" spans="1:7">
      <c r="A306" s="83"/>
      <c r="B306" s="84"/>
      <c r="C306" s="85"/>
      <c r="D306" s="85"/>
      <c r="E306" s="85"/>
      <c r="F306" s="85"/>
      <c r="G306" s="85"/>
    </row>
    <row r="307" spans="1:7">
      <c r="A307" s="83"/>
      <c r="B307" s="84"/>
      <c r="C307" s="85"/>
      <c r="D307" s="85"/>
      <c r="E307" s="85"/>
      <c r="F307" s="85"/>
      <c r="G307" s="85"/>
    </row>
    <row r="308" spans="1:7">
      <c r="A308" s="83"/>
      <c r="B308" s="84"/>
      <c r="C308" s="85"/>
      <c r="D308" s="85"/>
      <c r="E308" s="85"/>
      <c r="F308" s="85"/>
      <c r="G308" s="85"/>
    </row>
    <row r="309" spans="1:7">
      <c r="A309" s="83"/>
      <c r="B309" s="84"/>
      <c r="C309" s="85"/>
      <c r="D309" s="85"/>
      <c r="E309" s="85"/>
      <c r="F309" s="85"/>
      <c r="G309" s="85"/>
    </row>
    <row r="310" spans="1:7">
      <c r="A310" s="83"/>
      <c r="B310" s="84"/>
      <c r="C310" s="85"/>
      <c r="D310" s="85"/>
      <c r="E310" s="85"/>
      <c r="F310" s="85"/>
      <c r="G310" s="85"/>
    </row>
    <row r="311" spans="1:7">
      <c r="A311" s="83"/>
      <c r="B311" s="84"/>
      <c r="C311" s="85"/>
      <c r="D311" s="85"/>
      <c r="E311" s="85"/>
      <c r="F311" s="85"/>
      <c r="G311" s="85"/>
    </row>
    <row r="312" spans="1:7">
      <c r="A312" s="83"/>
      <c r="B312" s="84"/>
      <c r="C312" s="85"/>
      <c r="D312" s="85"/>
      <c r="E312" s="85"/>
      <c r="F312" s="85"/>
      <c r="G312" s="85"/>
    </row>
    <row r="313" spans="1:7">
      <c r="A313" s="83"/>
      <c r="B313" s="84"/>
      <c r="C313" s="85"/>
      <c r="D313" s="85"/>
      <c r="E313" s="85"/>
      <c r="F313" s="85"/>
      <c r="G313" s="85"/>
    </row>
    <row r="314" spans="1:7">
      <c r="A314" s="83"/>
      <c r="B314" s="84"/>
      <c r="C314" s="85"/>
      <c r="D314" s="85"/>
      <c r="E314" s="85"/>
      <c r="F314" s="85"/>
      <c r="G314" s="85"/>
    </row>
    <row r="315" spans="1:7">
      <c r="A315" s="83"/>
      <c r="B315" s="84"/>
      <c r="C315" s="85"/>
      <c r="D315" s="85"/>
      <c r="E315" s="85"/>
      <c r="F315" s="85"/>
      <c r="G315" s="85"/>
    </row>
    <row r="316" spans="1:7">
      <c r="A316" s="83"/>
      <c r="B316" s="84"/>
      <c r="C316" s="85"/>
      <c r="D316" s="85"/>
      <c r="E316" s="85"/>
      <c r="F316" s="85"/>
      <c r="G316" s="85"/>
    </row>
    <row r="317" spans="1:7">
      <c r="A317" s="83"/>
      <c r="B317" s="84"/>
      <c r="C317" s="85"/>
      <c r="D317" s="85"/>
      <c r="E317" s="85"/>
      <c r="F317" s="85"/>
      <c r="G317" s="85"/>
    </row>
    <row r="318" spans="1:7">
      <c r="A318" s="83"/>
      <c r="B318" s="84"/>
      <c r="C318" s="85"/>
      <c r="D318" s="85"/>
      <c r="E318" s="85"/>
      <c r="F318" s="85"/>
      <c r="G318" s="85"/>
    </row>
    <row r="319" spans="1:7">
      <c r="A319" s="83"/>
      <c r="B319" s="84"/>
      <c r="C319" s="85"/>
      <c r="D319" s="85"/>
      <c r="E319" s="85"/>
      <c r="F319" s="85"/>
      <c r="G319" s="85"/>
    </row>
    <row r="320" spans="1:7">
      <c r="A320" s="83"/>
      <c r="B320" s="84"/>
      <c r="C320" s="85"/>
      <c r="D320" s="85"/>
      <c r="E320" s="85"/>
      <c r="F320" s="85"/>
      <c r="G320" s="85"/>
    </row>
    <row r="321" spans="1:7">
      <c r="A321" s="83"/>
      <c r="B321" s="84"/>
      <c r="C321" s="85"/>
      <c r="D321" s="85"/>
      <c r="E321" s="85"/>
      <c r="F321" s="85"/>
      <c r="G321" s="85"/>
    </row>
    <row r="322" spans="1:7">
      <c r="A322" s="83"/>
      <c r="B322" s="84"/>
      <c r="C322" s="85"/>
      <c r="D322" s="85"/>
      <c r="E322" s="85"/>
      <c r="F322" s="85"/>
      <c r="G322" s="85"/>
    </row>
    <row r="323" spans="1:7">
      <c r="A323" s="83"/>
      <c r="B323" s="84"/>
      <c r="C323" s="85"/>
      <c r="D323" s="85"/>
      <c r="E323" s="85"/>
      <c r="F323" s="85"/>
      <c r="G323" s="85"/>
    </row>
    <row r="324" spans="1:7">
      <c r="A324" s="83"/>
      <c r="B324" s="84"/>
      <c r="C324" s="85"/>
      <c r="D324" s="85"/>
      <c r="E324" s="85"/>
      <c r="F324" s="85"/>
      <c r="G324" s="85"/>
    </row>
    <row r="325" spans="1:7">
      <c r="A325" s="83"/>
      <c r="B325" s="84"/>
      <c r="C325" s="85"/>
      <c r="D325" s="85"/>
      <c r="E325" s="85"/>
      <c r="F325" s="85"/>
      <c r="G325" s="85"/>
    </row>
    <row r="326" spans="1:7">
      <c r="A326" s="83"/>
      <c r="B326" s="84"/>
      <c r="C326" s="85"/>
      <c r="D326" s="85"/>
      <c r="E326" s="85"/>
      <c r="F326" s="85"/>
      <c r="G326" s="85"/>
    </row>
    <row r="327" spans="1:7">
      <c r="A327" s="83"/>
      <c r="B327" s="84"/>
      <c r="C327" s="85"/>
      <c r="D327" s="85"/>
      <c r="E327" s="85"/>
      <c r="F327" s="85"/>
      <c r="G327" s="85"/>
    </row>
    <row r="328" spans="1:7">
      <c r="A328" s="83"/>
      <c r="B328" s="84"/>
      <c r="C328" s="85"/>
      <c r="D328" s="85"/>
      <c r="E328" s="85"/>
      <c r="F328" s="85"/>
      <c r="G328" s="85"/>
    </row>
    <row r="329" spans="1:7">
      <c r="A329" s="83"/>
      <c r="B329" s="84"/>
      <c r="C329" s="85"/>
      <c r="D329" s="85"/>
      <c r="E329" s="85"/>
      <c r="F329" s="85"/>
      <c r="G329" s="85"/>
    </row>
    <row r="330" spans="1:7">
      <c r="A330" s="83"/>
      <c r="B330" s="84"/>
      <c r="C330" s="85"/>
      <c r="D330" s="85"/>
      <c r="E330" s="85"/>
      <c r="F330" s="85"/>
      <c r="G330" s="85"/>
    </row>
    <row r="331" spans="1:7">
      <c r="A331" s="83"/>
      <c r="B331" s="84"/>
      <c r="C331" s="85"/>
      <c r="D331" s="85"/>
      <c r="E331" s="85"/>
      <c r="F331" s="85"/>
      <c r="G331" s="85"/>
    </row>
    <row r="332" spans="1:7">
      <c r="A332" s="83"/>
      <c r="B332" s="84"/>
      <c r="C332" s="85"/>
      <c r="D332" s="85"/>
      <c r="E332" s="85"/>
      <c r="F332" s="85"/>
      <c r="G332" s="85"/>
    </row>
    <row r="333" spans="1:7">
      <c r="A333" s="83"/>
      <c r="B333" s="84"/>
      <c r="C333" s="85"/>
      <c r="D333" s="85"/>
      <c r="E333" s="85"/>
      <c r="F333" s="85"/>
      <c r="G333" s="85"/>
    </row>
    <row r="334" spans="1:7">
      <c r="A334" s="83"/>
      <c r="B334" s="84"/>
      <c r="C334" s="85"/>
      <c r="D334" s="85"/>
      <c r="E334" s="85"/>
      <c r="F334" s="85"/>
      <c r="G334" s="85"/>
    </row>
    <row r="335" spans="1:7">
      <c r="A335" s="83"/>
      <c r="B335" s="84"/>
      <c r="C335" s="85"/>
      <c r="D335" s="85"/>
      <c r="E335" s="85"/>
      <c r="F335" s="85"/>
      <c r="G335" s="85"/>
    </row>
    <row r="336" spans="1:7">
      <c r="A336" s="83"/>
      <c r="B336" s="84"/>
      <c r="C336" s="85"/>
      <c r="D336" s="85"/>
      <c r="E336" s="85"/>
      <c r="F336" s="85"/>
      <c r="G336" s="85"/>
    </row>
    <row r="337" spans="1:7">
      <c r="A337" s="83"/>
      <c r="B337" s="84"/>
      <c r="C337" s="85"/>
      <c r="D337" s="85"/>
      <c r="E337" s="85"/>
      <c r="F337" s="85"/>
      <c r="G337" s="85"/>
    </row>
    <row r="338" spans="1:7">
      <c r="A338" s="83"/>
      <c r="B338" s="84"/>
      <c r="C338" s="85"/>
      <c r="D338" s="85"/>
      <c r="E338" s="85"/>
      <c r="F338" s="85"/>
      <c r="G338" s="85"/>
    </row>
    <row r="339" spans="1:7">
      <c r="A339" s="83"/>
      <c r="B339" s="84"/>
      <c r="C339" s="85"/>
      <c r="D339" s="85"/>
      <c r="E339" s="85"/>
      <c r="F339" s="85"/>
      <c r="G339" s="85"/>
    </row>
    <row r="340" spans="1:7">
      <c r="A340" s="83"/>
      <c r="B340" s="84"/>
      <c r="C340" s="85"/>
      <c r="D340" s="85"/>
      <c r="E340" s="85"/>
      <c r="F340" s="85"/>
      <c r="G340" s="85"/>
    </row>
    <row r="341" spans="1:7">
      <c r="A341" s="83"/>
      <c r="B341" s="84"/>
      <c r="C341" s="85"/>
      <c r="D341" s="85"/>
      <c r="E341" s="85"/>
      <c r="F341" s="85"/>
      <c r="G341" s="85"/>
    </row>
    <row r="342" spans="1:7">
      <c r="A342" s="83"/>
      <c r="B342" s="84"/>
      <c r="C342" s="85"/>
      <c r="D342" s="85"/>
      <c r="E342" s="85"/>
      <c r="F342" s="85"/>
      <c r="G342" s="85"/>
    </row>
    <row r="343" spans="1:7">
      <c r="A343" s="83"/>
      <c r="B343" s="84"/>
      <c r="C343" s="85"/>
      <c r="D343" s="85"/>
      <c r="E343" s="85"/>
      <c r="F343" s="85"/>
      <c r="G343" s="85"/>
    </row>
    <row r="344" spans="1:7">
      <c r="A344" s="83"/>
      <c r="B344" s="84"/>
      <c r="C344" s="85"/>
      <c r="D344" s="85"/>
      <c r="E344" s="85"/>
      <c r="F344" s="85"/>
      <c r="G344" s="85"/>
    </row>
    <row r="345" spans="1:7">
      <c r="A345" s="83"/>
      <c r="B345" s="84"/>
      <c r="C345" s="85"/>
      <c r="D345" s="85"/>
      <c r="E345" s="85"/>
      <c r="F345" s="85"/>
      <c r="G345" s="85"/>
    </row>
    <row r="346" spans="1:7">
      <c r="A346" s="83"/>
      <c r="B346" s="84"/>
      <c r="C346" s="85"/>
      <c r="D346" s="85"/>
      <c r="E346" s="85"/>
      <c r="F346" s="85"/>
      <c r="G346" s="85"/>
    </row>
    <row r="347" spans="1:7">
      <c r="A347" s="83"/>
      <c r="B347" s="84"/>
      <c r="C347" s="85"/>
      <c r="D347" s="85"/>
      <c r="E347" s="85"/>
      <c r="F347" s="85"/>
      <c r="G347" s="85"/>
    </row>
    <row r="348" spans="1:7">
      <c r="A348" s="83"/>
      <c r="B348" s="84"/>
      <c r="C348" s="85"/>
      <c r="D348" s="85"/>
      <c r="E348" s="85"/>
      <c r="F348" s="85"/>
      <c r="G348" s="85"/>
    </row>
  </sheetData>
  <mergeCells count="149">
    <mergeCell ref="A26:A27"/>
    <mergeCell ref="B37:B39"/>
    <mergeCell ref="C37:C39"/>
    <mergeCell ref="A37:A39"/>
    <mergeCell ref="H111:H113"/>
    <mergeCell ref="H116:H118"/>
    <mergeCell ref="H126:H128"/>
    <mergeCell ref="D111:D113"/>
    <mergeCell ref="B41:B42"/>
    <mergeCell ref="A41:A42"/>
    <mergeCell ref="B68:B69"/>
    <mergeCell ref="B60:B61"/>
    <mergeCell ref="F126:F128"/>
    <mergeCell ref="B123:B124"/>
    <mergeCell ref="C123:C124"/>
    <mergeCell ref="D126:D128"/>
    <mergeCell ref="B111:B113"/>
    <mergeCell ref="C111:C113"/>
    <mergeCell ref="A68:A69"/>
    <mergeCell ref="A126:A128"/>
    <mergeCell ref="A123:A124"/>
    <mergeCell ref="A65:A66"/>
    <mergeCell ref="A7:H7"/>
    <mergeCell ref="D116:D118"/>
    <mergeCell ref="E126:E128"/>
    <mergeCell ref="E111:E113"/>
    <mergeCell ref="C68:C69"/>
    <mergeCell ref="C60:C61"/>
    <mergeCell ref="A60:A61"/>
    <mergeCell ref="C73:C76"/>
    <mergeCell ref="B73:B76"/>
    <mergeCell ref="C126:C128"/>
    <mergeCell ref="C79:C83"/>
    <mergeCell ref="A23:A25"/>
    <mergeCell ref="B23:B25"/>
    <mergeCell ref="C23:C25"/>
    <mergeCell ref="G126:G128"/>
    <mergeCell ref="F111:F113"/>
    <mergeCell ref="G111:G113"/>
    <mergeCell ref="E116:E118"/>
    <mergeCell ref="F116:F118"/>
    <mergeCell ref="G116:G118"/>
    <mergeCell ref="B26:B27"/>
    <mergeCell ref="C26:C27"/>
    <mergeCell ref="E68:E69"/>
    <mergeCell ref="A73:A76"/>
    <mergeCell ref="A239:A240"/>
    <mergeCell ref="C116:C118"/>
    <mergeCell ref="B104:B107"/>
    <mergeCell ref="B79:B83"/>
    <mergeCell ref="B126:B128"/>
    <mergeCell ref="A79:A83"/>
    <mergeCell ref="A84:A85"/>
    <mergeCell ref="A86:A87"/>
    <mergeCell ref="A104:A107"/>
    <mergeCell ref="A116:A118"/>
    <mergeCell ref="A111:A113"/>
    <mergeCell ref="B86:B87"/>
    <mergeCell ref="C86:C87"/>
    <mergeCell ref="A192:A194"/>
    <mergeCell ref="A236:A238"/>
    <mergeCell ref="B232:B234"/>
    <mergeCell ref="C232:C234"/>
    <mergeCell ref="A218:A219"/>
    <mergeCell ref="B218:B219"/>
    <mergeCell ref="B84:B85"/>
    <mergeCell ref="C84:C85"/>
    <mergeCell ref="A162:A163"/>
    <mergeCell ref="C104:C107"/>
    <mergeCell ref="B116:B118"/>
    <mergeCell ref="C184:C186"/>
    <mergeCell ref="A184:A186"/>
    <mergeCell ref="A188:A189"/>
    <mergeCell ref="A214:A215"/>
    <mergeCell ref="A216:A217"/>
    <mergeCell ref="A208:A210"/>
    <mergeCell ref="A180:A181"/>
    <mergeCell ref="B180:B181"/>
    <mergeCell ref="C180:C181"/>
    <mergeCell ref="C216:C217"/>
    <mergeCell ref="B216:B217"/>
    <mergeCell ref="C239:C240"/>
    <mergeCell ref="B168:B169"/>
    <mergeCell ref="E221:E222"/>
    <mergeCell ref="C221:C222"/>
    <mergeCell ref="C208:C210"/>
    <mergeCell ref="B208:B210"/>
    <mergeCell ref="B214:B215"/>
    <mergeCell ref="C214:C215"/>
    <mergeCell ref="B192:B194"/>
    <mergeCell ref="C192:C194"/>
    <mergeCell ref="B200:B202"/>
    <mergeCell ref="C200:C202"/>
    <mergeCell ref="B239:B240"/>
    <mergeCell ref="D168:D169"/>
    <mergeCell ref="D218:D219"/>
    <mergeCell ref="E218:E219"/>
    <mergeCell ref="C236:C238"/>
    <mergeCell ref="E223:E224"/>
    <mergeCell ref="B236:B238"/>
    <mergeCell ref="B229:B230"/>
    <mergeCell ref="C229:C230"/>
    <mergeCell ref="D229:D230"/>
    <mergeCell ref="E168:E169"/>
    <mergeCell ref="C168:C169"/>
    <mergeCell ref="I65:I66"/>
    <mergeCell ref="I168:I169"/>
    <mergeCell ref="C65:C66"/>
    <mergeCell ref="B65:B66"/>
    <mergeCell ref="D65:D66"/>
    <mergeCell ref="E65:E66"/>
    <mergeCell ref="F65:F66"/>
    <mergeCell ref="G65:G66"/>
    <mergeCell ref="H65:H66"/>
    <mergeCell ref="F168:F169"/>
    <mergeCell ref="G168:G169"/>
    <mergeCell ref="C140:C142"/>
    <mergeCell ref="E155:E156"/>
    <mergeCell ref="C162:C163"/>
    <mergeCell ref="B162:B163"/>
    <mergeCell ref="B155:B156"/>
    <mergeCell ref="C155:C156"/>
    <mergeCell ref="B140:B142"/>
    <mergeCell ref="B158:B159"/>
    <mergeCell ref="C158:C159"/>
    <mergeCell ref="H218:H219"/>
    <mergeCell ref="H168:H169"/>
    <mergeCell ref="A232:A234"/>
    <mergeCell ref="A221:A222"/>
    <mergeCell ref="B221:B222"/>
    <mergeCell ref="I218:I219"/>
    <mergeCell ref="I126:I128"/>
    <mergeCell ref="I116:I118"/>
    <mergeCell ref="I111:I113"/>
    <mergeCell ref="F218:F219"/>
    <mergeCell ref="G218:G219"/>
    <mergeCell ref="A229:A230"/>
    <mergeCell ref="A200:A202"/>
    <mergeCell ref="C188:C189"/>
    <mergeCell ref="A168:A169"/>
    <mergeCell ref="B188:B189"/>
    <mergeCell ref="A155:A156"/>
    <mergeCell ref="A140:A142"/>
    <mergeCell ref="A158:A159"/>
    <mergeCell ref="B223:B224"/>
    <mergeCell ref="A223:A224"/>
    <mergeCell ref="C223:C224"/>
    <mergeCell ref="C218:C219"/>
    <mergeCell ref="B184:B186"/>
  </mergeCells>
  <printOptions horizontalCentered="1"/>
  <pageMargins left="0.35433070866141736" right="0.39370078740157483" top="0.35433070866141736" bottom="0.19685039370078741" header="0.15748031496062992" footer="0.19685039370078741"/>
  <pageSetup paperSize="9" scale="60" fitToHeight="30" orientation="landscape" r:id="rId1"/>
  <rowBreaks count="10" manualBreakCount="10">
    <brk id="21" max="8" man="1"/>
    <brk id="64" max="8" man="1"/>
    <brk id="76" max="8" man="1"/>
    <brk id="96" max="8" man="1"/>
    <brk id="113" max="8" man="1"/>
    <brk id="134" max="8" man="1"/>
    <brk id="159" max="8" man="1"/>
    <brk id="170" max="8" man="1"/>
    <brk id="191" max="8" man="1"/>
    <brk id="21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3</vt:lpstr>
      <vt:lpstr>приложение 4</vt:lpstr>
      <vt:lpstr>приложение 5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2024-04-23T05:25:15Z</dcterms:modified>
</cp:coreProperties>
</file>