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9440" windowHeight="8055" activeTab="1"/>
  </bookViews>
  <sheets>
    <sheet name="приложение 3" sheetId="3" r:id="rId1"/>
    <sheet name="приложение 4" sheetId="1" r:id="rId2"/>
    <sheet name="приложение 5" sheetId="2" r:id="rId3"/>
  </sheets>
  <definedNames>
    <definedName name="_xlnm._FilterDatabase" localSheetId="1" hidden="1">'приложение 4'!$A$14:$L$728</definedName>
    <definedName name="_xlnm._FilterDatabase" localSheetId="2" hidden="1">'приложение 5'!$A$14:$I$271</definedName>
    <definedName name="_xlnm.Print_Titles" localSheetId="0">'приложение 3'!$14:$15</definedName>
    <definedName name="_xlnm.Print_Titles" localSheetId="1">'приложение 4'!$15:$16</definedName>
    <definedName name="_xlnm.Print_Titles" localSheetId="2">'приложение 5'!$13:$14</definedName>
    <definedName name="_xlnm.Print_Area" localSheetId="0">'приложение 3'!$A$1:$F$66</definedName>
    <definedName name="_xlnm.Print_Area" localSheetId="2">'приложение 5'!$A$1:$H$271</definedName>
  </definedNames>
  <calcPr calcId="125725"/>
</workbook>
</file>

<file path=xl/calcChain.xml><?xml version="1.0" encoding="utf-8"?>
<calcChain xmlns="http://schemas.openxmlformats.org/spreadsheetml/2006/main">
  <c r="J728" i="1"/>
  <c r="G710"/>
  <c r="G723"/>
  <c r="F204" i="2" l="1"/>
  <c r="G295" i="1"/>
  <c r="G307"/>
  <c r="F210" i="2"/>
  <c r="G146" i="1" l="1"/>
  <c r="J183"/>
  <c r="G183"/>
  <c r="G188" l="1"/>
  <c r="G510"/>
  <c r="G495"/>
  <c r="G177"/>
  <c r="G141" l="1"/>
  <c r="G139" l="1"/>
  <c r="G133"/>
  <c r="J726"/>
  <c r="G180" l="1"/>
  <c r="G634" l="1"/>
  <c r="G267" l="1"/>
  <c r="G405" l="1"/>
  <c r="G606"/>
  <c r="G474" l="1"/>
  <c r="G115" l="1"/>
  <c r="G264"/>
  <c r="G422" l="1"/>
  <c r="G431"/>
  <c r="G424"/>
  <c r="G388"/>
  <c r="G323"/>
  <c r="G174"/>
  <c r="G353"/>
  <c r="G276"/>
  <c r="G274"/>
  <c r="G143"/>
  <c r="G237"/>
  <c r="G358"/>
  <c r="G26"/>
  <c r="G79"/>
  <c r="J727" l="1"/>
  <c r="G129" i="2"/>
  <c r="H129"/>
  <c r="F129"/>
  <c r="E129"/>
  <c r="D129"/>
  <c r="C129"/>
  <c r="B129"/>
  <c r="I530" i="1" l="1"/>
  <c r="H530"/>
  <c r="I501"/>
  <c r="H501"/>
  <c r="I507"/>
  <c r="H507"/>
  <c r="G507"/>
  <c r="G550"/>
  <c r="G534"/>
  <c r="G530"/>
  <c r="G524"/>
  <c r="G501"/>
  <c r="G489"/>
  <c r="G477"/>
  <c r="G468"/>
  <c r="G454"/>
  <c r="G451"/>
  <c r="G448"/>
  <c r="G426"/>
  <c r="G380"/>
  <c r="G285"/>
  <c r="G204"/>
  <c r="H119"/>
  <c r="H118" s="1"/>
  <c r="H117" s="1"/>
  <c r="I119"/>
  <c r="I118" s="1"/>
  <c r="I117" s="1"/>
  <c r="G119"/>
  <c r="G118" s="1"/>
  <c r="G117" s="1"/>
  <c r="B17" i="2"/>
  <c r="G190" l="1"/>
  <c r="H190"/>
  <c r="G298" i="1"/>
  <c r="H266"/>
  <c r="H265" s="1"/>
  <c r="I266"/>
  <c r="I265" s="1"/>
  <c r="G266"/>
  <c r="G265" s="1"/>
  <c r="F191" i="2" s="1"/>
  <c r="H702" i="1" l="1"/>
  <c r="H442" l="1"/>
  <c r="H203"/>
  <c r="H202" s="1"/>
  <c r="G159" i="2" s="1"/>
  <c r="I203" i="1"/>
  <c r="I202" s="1"/>
  <c r="H159" i="2" s="1"/>
  <c r="G203" i="1"/>
  <c r="G202" s="1"/>
  <c r="F159" i="2" s="1"/>
  <c r="G201" i="1"/>
  <c r="H462"/>
  <c r="H461" s="1"/>
  <c r="I462"/>
  <c r="I461" s="1"/>
  <c r="G462"/>
  <c r="F56" i="2" s="1"/>
  <c r="G442" i="1"/>
  <c r="G461" l="1"/>
  <c r="H56" i="2"/>
  <c r="G56"/>
  <c r="G301" i="1"/>
  <c r="H72"/>
  <c r="I72"/>
  <c r="G72"/>
  <c r="H75"/>
  <c r="I75"/>
  <c r="H73"/>
  <c r="I73"/>
  <c r="H78"/>
  <c r="H77" s="1"/>
  <c r="G211" i="2" s="1"/>
  <c r="I78" i="1"/>
  <c r="I77" s="1"/>
  <c r="H211" i="2" s="1"/>
  <c r="G78" i="1"/>
  <c r="G77" s="1"/>
  <c r="G76" s="1"/>
  <c r="G75" s="1"/>
  <c r="G74" s="1"/>
  <c r="G73" s="1"/>
  <c r="F211" i="2" l="1"/>
  <c r="G158" i="1"/>
  <c r="G250"/>
  <c r="G702" l="1"/>
  <c r="G600"/>
  <c r="G627"/>
  <c r="G375" l="1"/>
  <c r="G445"/>
  <c r="H515"/>
  <c r="H514" s="1"/>
  <c r="G77" i="2" s="1"/>
  <c r="I515" i="1"/>
  <c r="I514" s="1"/>
  <c r="H77" i="2" s="1"/>
  <c r="G515" i="1"/>
  <c r="G514" s="1"/>
  <c r="F77" i="2" s="1"/>
  <c r="H509" i="1"/>
  <c r="H508" s="1"/>
  <c r="G75" i="2" s="1"/>
  <c r="I509" i="1"/>
  <c r="I508" s="1"/>
  <c r="H75" i="2" s="1"/>
  <c r="G509" i="1"/>
  <c r="G508" s="1"/>
  <c r="F75" i="2" s="1"/>
  <c r="H543" i="1"/>
  <c r="H542" s="1"/>
  <c r="G90" i="2" s="1"/>
  <c r="I543" i="1"/>
  <c r="I542" s="1"/>
  <c r="H90" i="2" s="1"/>
  <c r="G543" i="1"/>
  <c r="G542" s="1"/>
  <c r="F90" i="2" s="1"/>
  <c r="H512" i="1"/>
  <c r="H511" s="1"/>
  <c r="G76" i="2" s="1"/>
  <c r="I512" i="1"/>
  <c r="I511" s="1"/>
  <c r="H76" i="2" s="1"/>
  <c r="G512" i="1"/>
  <c r="G511" s="1"/>
  <c r="F76" i="2" s="1"/>
  <c r="H459" i="1" l="1"/>
  <c r="H458" s="1"/>
  <c r="G55" i="2" s="1"/>
  <c r="I459" i="1"/>
  <c r="I458" s="1"/>
  <c r="H55" i="2" s="1"/>
  <c r="G459" i="1"/>
  <c r="G458" s="1"/>
  <c r="F55" i="2" s="1"/>
  <c r="G547" i="1"/>
  <c r="G492"/>
  <c r="G81" i="2" l="1"/>
  <c r="H81"/>
  <c r="F81"/>
  <c r="G83"/>
  <c r="H83"/>
  <c r="F83"/>
  <c r="C83"/>
  <c r="B83"/>
  <c r="G80" l="1"/>
  <c r="K726" i="1"/>
  <c r="L726"/>
  <c r="I523"/>
  <c r="I522" s="1"/>
  <c r="I521" s="1"/>
  <c r="I520" s="1"/>
  <c r="H523"/>
  <c r="H522" s="1"/>
  <c r="H521" s="1"/>
  <c r="H520" s="1"/>
  <c r="G523"/>
  <c r="G522" s="1"/>
  <c r="G521" s="1"/>
  <c r="G520" s="1"/>
  <c r="H506"/>
  <c r="H505" s="1"/>
  <c r="I506"/>
  <c r="I505" s="1"/>
  <c r="G506"/>
  <c r="G505" s="1"/>
  <c r="H549"/>
  <c r="H548" s="1"/>
  <c r="G92" i="2" s="1"/>
  <c r="I549" i="1"/>
  <c r="I548" s="1"/>
  <c r="H92" i="2" s="1"/>
  <c r="G549" i="1"/>
  <c r="G548" s="1"/>
  <c r="F92" i="2" s="1"/>
  <c r="H575" i="1"/>
  <c r="H574" s="1"/>
  <c r="I575"/>
  <c r="I574" s="1"/>
  <c r="G575"/>
  <c r="G574" s="1"/>
  <c r="H578"/>
  <c r="I578"/>
  <c r="G578"/>
  <c r="G581"/>
  <c r="I573"/>
  <c r="H573"/>
  <c r="G573"/>
  <c r="I570"/>
  <c r="H570"/>
  <c r="I568"/>
  <c r="H568"/>
  <c r="G570"/>
  <c r="G568"/>
  <c r="G504"/>
  <c r="G483"/>
  <c r="F79" i="2" l="1"/>
  <c r="H79"/>
  <c r="G79"/>
  <c r="F254"/>
  <c r="I467" i="1"/>
  <c r="I466" s="1"/>
  <c r="H467"/>
  <c r="H466" s="1"/>
  <c r="G467"/>
  <c r="G466" s="1"/>
  <c r="H658"/>
  <c r="H657" s="1"/>
  <c r="G38" i="2" s="1"/>
  <c r="I658" i="1"/>
  <c r="I657" s="1"/>
  <c r="H38" i="2" s="1"/>
  <c r="G658" i="1"/>
  <c r="G657" s="1"/>
  <c r="F38" i="2" s="1"/>
  <c r="H655" i="1"/>
  <c r="H654" s="1"/>
  <c r="G37" i="2" s="1"/>
  <c r="I655" i="1"/>
  <c r="I654" s="1"/>
  <c r="H37" i="2" s="1"/>
  <c r="G655" i="1"/>
  <c r="G654" s="1"/>
  <c r="F37" i="2" s="1"/>
  <c r="G644" i="1"/>
  <c r="G616"/>
  <c r="I365"/>
  <c r="H365"/>
  <c r="G365"/>
  <c r="I335"/>
  <c r="H335"/>
  <c r="G335"/>
  <c r="I329"/>
  <c r="H329"/>
  <c r="G329"/>
  <c r="G316"/>
  <c r="G314"/>
  <c r="G294"/>
  <c r="G292"/>
  <c r="G259"/>
  <c r="G194"/>
  <c r="G192"/>
  <c r="I124"/>
  <c r="I123" s="1"/>
  <c r="H124"/>
  <c r="H123" s="1"/>
  <c r="G124"/>
  <c r="G123" s="1"/>
  <c r="G109"/>
  <c r="I92"/>
  <c r="I91" s="1"/>
  <c r="H17" i="2" s="1"/>
  <c r="H92" i="1"/>
  <c r="H91" s="1"/>
  <c r="G17" i="2" s="1"/>
  <c r="G92" i="1"/>
  <c r="G91" s="1"/>
  <c r="F17" i="2" s="1"/>
  <c r="I51" i="1"/>
  <c r="I50" s="1"/>
  <c r="H51"/>
  <c r="H50" s="1"/>
  <c r="G51"/>
  <c r="G50" s="1"/>
  <c r="G58"/>
  <c r="G57" s="1"/>
  <c r="G56" s="1"/>
  <c r="G55" s="1"/>
  <c r="G54" s="1"/>
  <c r="H58"/>
  <c r="H57" s="1"/>
  <c r="H56" s="1"/>
  <c r="H55" s="1"/>
  <c r="H54" s="1"/>
  <c r="I58"/>
  <c r="I57" s="1"/>
  <c r="I56" s="1"/>
  <c r="I55" s="1"/>
  <c r="I54" s="1"/>
  <c r="G122" l="1"/>
  <c r="G121" s="1"/>
  <c r="G116" s="1"/>
  <c r="F133" i="2"/>
  <c r="H465" i="1"/>
  <c r="H464" s="1"/>
  <c r="G253" i="2"/>
  <c r="G252" s="1"/>
  <c r="H122" i="1"/>
  <c r="H121" s="1"/>
  <c r="H116" s="1"/>
  <c r="G133" i="2"/>
  <c r="I465" i="1"/>
  <c r="I464" s="1"/>
  <c r="H253" i="2"/>
  <c r="H252" s="1"/>
  <c r="I122" i="1"/>
  <c r="I121" s="1"/>
  <c r="I116" s="1"/>
  <c r="H133" i="2"/>
  <c r="G465" i="1"/>
  <c r="G464" s="1"/>
  <c r="F253" i="2"/>
  <c r="F252" s="1"/>
  <c r="I49" i="1"/>
  <c r="I48" s="1"/>
  <c r="I47" s="1"/>
  <c r="I46" s="1"/>
  <c r="H157" i="2"/>
  <c r="G49" i="1"/>
  <c r="G48" s="1"/>
  <c r="G47" s="1"/>
  <c r="G46" s="1"/>
  <c r="F157" i="2"/>
  <c r="H49" i="1"/>
  <c r="H48" s="1"/>
  <c r="H47" s="1"/>
  <c r="H46" s="1"/>
  <c r="G157" i="2"/>
  <c r="I90" i="1"/>
  <c r="I89" s="1"/>
  <c r="I88" s="1"/>
  <c r="H90"/>
  <c r="H89" s="1"/>
  <c r="H88" s="1"/>
  <c r="G90"/>
  <c r="G89" s="1"/>
  <c r="G88" s="1"/>
  <c r="G87" l="1"/>
  <c r="D59" i="3"/>
  <c r="H87" i="1"/>
  <c r="E59" i="3"/>
  <c r="I87" i="1"/>
  <c r="F59" i="3"/>
  <c r="H692" i="1"/>
  <c r="H139"/>
  <c r="H24"/>
  <c r="G24" l="1"/>
  <c r="G692"/>
  <c r="G65" l="1"/>
  <c r="G221"/>
  <c r="G720" l="1"/>
  <c r="G717"/>
  <c r="G699"/>
  <c r="G32"/>
  <c r="G480" l="1"/>
  <c r="I627" l="1"/>
  <c r="H627" l="1"/>
  <c r="I474"/>
  <c r="H474"/>
  <c r="I644"/>
  <c r="H644"/>
  <c r="G556" l="1"/>
  <c r="G665"/>
  <c r="G630"/>
  <c r="G597"/>
  <c r="G373"/>
  <c r="H80" i="2"/>
  <c r="C80"/>
  <c r="H72"/>
  <c r="G72"/>
  <c r="C72"/>
  <c r="I580" i="1"/>
  <c r="I577" s="1"/>
  <c r="H580"/>
  <c r="H577" s="1"/>
  <c r="G580"/>
  <c r="G577" s="1"/>
  <c r="G479"/>
  <c r="G478" s="1"/>
  <c r="F72" i="2" l="1"/>
  <c r="F80"/>
  <c r="I445" i="1"/>
  <c r="H445"/>
  <c r="G363"/>
  <c r="G346"/>
  <c r="G229"/>
  <c r="G395"/>
  <c r="G169"/>
  <c r="G38"/>
  <c r="G341"/>
  <c r="H152"/>
  <c r="G152"/>
  <c r="G164"/>
  <c r="B208" i="2"/>
  <c r="G210" l="1"/>
  <c r="H210"/>
  <c r="G209"/>
  <c r="H209"/>
  <c r="F209"/>
  <c r="G208"/>
  <c r="H208"/>
  <c r="F208"/>
  <c r="C210"/>
  <c r="C209"/>
  <c r="C208"/>
  <c r="B210"/>
  <c r="B209"/>
  <c r="C207"/>
  <c r="H306" i="1"/>
  <c r="H305" s="1"/>
  <c r="I306"/>
  <c r="I305" s="1"/>
  <c r="G306"/>
  <c r="G305" s="1"/>
  <c r="H303"/>
  <c r="H302" s="1"/>
  <c r="I303"/>
  <c r="I302" s="1"/>
  <c r="G303"/>
  <c r="G302" s="1"/>
  <c r="H300"/>
  <c r="H299" s="1"/>
  <c r="I300"/>
  <c r="I299" s="1"/>
  <c r="G300"/>
  <c r="G299" s="1"/>
  <c r="G647" l="1"/>
  <c r="G244" i="2" l="1"/>
  <c r="H244"/>
  <c r="F244"/>
  <c r="G243"/>
  <c r="H243"/>
  <c r="F243"/>
  <c r="C243"/>
  <c r="B243"/>
  <c r="H220" i="1"/>
  <c r="I220"/>
  <c r="G220"/>
  <c r="H222"/>
  <c r="I222"/>
  <c r="G222"/>
  <c r="G46" i="2"/>
  <c r="H46"/>
  <c r="F46"/>
  <c r="C46"/>
  <c r="B46"/>
  <c r="H652" i="1"/>
  <c r="H651" s="1"/>
  <c r="I652"/>
  <c r="I651" s="1"/>
  <c r="G652"/>
  <c r="G651" s="1"/>
  <c r="I219" l="1"/>
  <c r="I218" s="1"/>
  <c r="I217" s="1"/>
  <c r="I216" s="1"/>
  <c r="G219"/>
  <c r="G218" s="1"/>
  <c r="G217" s="1"/>
  <c r="G216" s="1"/>
  <c r="H219"/>
  <c r="H218" s="1"/>
  <c r="H217" s="1"/>
  <c r="H216" s="1"/>
  <c r="G558"/>
  <c r="G82" i="2"/>
  <c r="H82"/>
  <c r="F82"/>
  <c r="C82"/>
  <c r="B82"/>
  <c r="C58"/>
  <c r="H482" i="1"/>
  <c r="H481" s="1"/>
  <c r="I482"/>
  <c r="I481" s="1"/>
  <c r="G482"/>
  <c r="G481" s="1"/>
  <c r="I444" l="1"/>
  <c r="I443" s="1"/>
  <c r="H58" i="2"/>
  <c r="G58"/>
  <c r="F58"/>
  <c r="G444" i="1" l="1"/>
  <c r="G443" s="1"/>
  <c r="H444"/>
  <c r="H443" s="1"/>
  <c r="I498" l="1"/>
  <c r="H498"/>
  <c r="G498"/>
  <c r="G45" i="2"/>
  <c r="H45"/>
  <c r="F45"/>
  <c r="C45"/>
  <c r="H646" i="1"/>
  <c r="H645" s="1"/>
  <c r="I646"/>
  <c r="I645" s="1"/>
  <c r="G646"/>
  <c r="G645" s="1"/>
  <c r="I650"/>
  <c r="H650"/>
  <c r="G650"/>
  <c r="H637"/>
  <c r="I609"/>
  <c r="H609"/>
  <c r="G609"/>
  <c r="G712"/>
  <c r="G226" i="2"/>
  <c r="H226"/>
  <c r="F226"/>
  <c r="C226"/>
  <c r="I701" i="1"/>
  <c r="I700" s="1"/>
  <c r="H701"/>
  <c r="H700" s="1"/>
  <c r="G701"/>
  <c r="G700" s="1"/>
  <c r="I405"/>
  <c r="H405"/>
  <c r="G207" i="2"/>
  <c r="H207"/>
  <c r="F207"/>
  <c r="G206"/>
  <c r="H206"/>
  <c r="F206"/>
  <c r="G205"/>
  <c r="H205"/>
  <c r="F205"/>
  <c r="C205"/>
  <c r="G189"/>
  <c r="H189"/>
  <c r="F190"/>
  <c r="F189" s="1"/>
  <c r="C190"/>
  <c r="G175"/>
  <c r="H175"/>
  <c r="F175"/>
  <c r="G177"/>
  <c r="H177"/>
  <c r="F177"/>
  <c r="H144"/>
  <c r="G145"/>
  <c r="G144" s="1"/>
  <c r="F145"/>
  <c r="F144" s="1"/>
  <c r="C145"/>
  <c r="H263" i="1"/>
  <c r="H262" s="1"/>
  <c r="H261" s="1"/>
  <c r="H260" s="1"/>
  <c r="I263"/>
  <c r="I262" s="1"/>
  <c r="I261" s="1"/>
  <c r="I260" s="1"/>
  <c r="G263"/>
  <c r="G262" s="1"/>
  <c r="I256"/>
  <c r="H256"/>
  <c r="G256"/>
  <c r="G261" l="1"/>
  <c r="G260" s="1"/>
  <c r="F203" i="2"/>
  <c r="G204"/>
  <c r="G203" s="1"/>
  <c r="H204"/>
  <c r="H203" s="1"/>
  <c r="H243" i="1"/>
  <c r="H241" s="1"/>
  <c r="I243"/>
  <c r="I241" s="1"/>
  <c r="G243"/>
  <c r="G241" s="1"/>
  <c r="H238"/>
  <c r="I238"/>
  <c r="G238"/>
  <c r="H165"/>
  <c r="I165"/>
  <c r="H70"/>
  <c r="H69" s="1"/>
  <c r="H68" s="1"/>
  <c r="H67" s="1"/>
  <c r="H66" s="1"/>
  <c r="I70"/>
  <c r="I69" s="1"/>
  <c r="I68" s="1"/>
  <c r="I67" s="1"/>
  <c r="I66" s="1"/>
  <c r="G70"/>
  <c r="G69" s="1"/>
  <c r="G68" s="1"/>
  <c r="G67" s="1"/>
  <c r="G66" s="1"/>
  <c r="C170" i="2"/>
  <c r="G130"/>
  <c r="H130"/>
  <c r="F130"/>
  <c r="G91" l="1"/>
  <c r="H91"/>
  <c r="F91"/>
  <c r="E91"/>
  <c r="D91"/>
  <c r="C91"/>
  <c r="B91"/>
  <c r="G68"/>
  <c r="H68"/>
  <c r="F68"/>
  <c r="E68"/>
  <c r="D68"/>
  <c r="C68"/>
  <c r="B68"/>
  <c r="G67"/>
  <c r="H67"/>
  <c r="F67"/>
  <c r="E67"/>
  <c r="D67"/>
  <c r="C67"/>
  <c r="B67"/>
  <c r="G57"/>
  <c r="H57"/>
  <c r="F57"/>
  <c r="E57"/>
  <c r="D57"/>
  <c r="C57"/>
  <c r="B57"/>
  <c r="H491" i="1" l="1"/>
  <c r="H490" s="1"/>
  <c r="I491"/>
  <c r="I490" s="1"/>
  <c r="G491"/>
  <c r="G490" s="1"/>
  <c r="H494"/>
  <c r="H493" s="1"/>
  <c r="I494"/>
  <c r="I493" s="1"/>
  <c r="G494"/>
  <c r="G493" s="1"/>
  <c r="H546"/>
  <c r="H545" s="1"/>
  <c r="I546"/>
  <c r="I545" s="1"/>
  <c r="G546"/>
  <c r="G545" s="1"/>
  <c r="H447"/>
  <c r="H446" s="1"/>
  <c r="I447"/>
  <c r="I446" s="1"/>
  <c r="G447"/>
  <c r="G446" s="1"/>
  <c r="H297" l="1"/>
  <c r="H296" s="1"/>
  <c r="H295" s="1"/>
  <c r="E42" i="3" s="1"/>
  <c r="I297" i="1"/>
  <c r="I296" s="1"/>
  <c r="I295" s="1"/>
  <c r="F42" i="3" s="1"/>
  <c r="G297" i="1"/>
  <c r="G296" s="1"/>
  <c r="D42" i="3" l="1"/>
  <c r="C70" i="2"/>
  <c r="F141" i="1" l="1"/>
  <c r="H70" i="2" l="1"/>
  <c r="G70"/>
  <c r="F70"/>
  <c r="G199"/>
  <c r="H199"/>
  <c r="F199"/>
  <c r="G198"/>
  <c r="H198"/>
  <c r="F198"/>
  <c r="G167"/>
  <c r="H167"/>
  <c r="F167"/>
  <c r="D167"/>
  <c r="C167"/>
  <c r="B167"/>
  <c r="H362" i="1" l="1"/>
  <c r="I362"/>
  <c r="G362"/>
  <c r="H364"/>
  <c r="I364"/>
  <c r="G364"/>
  <c r="H258"/>
  <c r="H257" s="1"/>
  <c r="I258"/>
  <c r="I257" s="1"/>
  <c r="G258"/>
  <c r="G257" s="1"/>
  <c r="H361" l="1"/>
  <c r="H360" s="1"/>
  <c r="H359" s="1"/>
  <c r="I361"/>
  <c r="I360" s="1"/>
  <c r="I359" s="1"/>
  <c r="G361"/>
  <c r="G360" s="1"/>
  <c r="G359" s="1"/>
  <c r="H503"/>
  <c r="H502" s="1"/>
  <c r="I503"/>
  <c r="I502" s="1"/>
  <c r="G503"/>
  <c r="G502" s="1"/>
  <c r="I179" l="1"/>
  <c r="I178" s="1"/>
  <c r="H229" i="2"/>
  <c r="H230"/>
  <c r="H231"/>
  <c r="H232"/>
  <c r="H233"/>
  <c r="H234"/>
  <c r="H235"/>
  <c r="H236"/>
  <c r="H237"/>
  <c r="H238"/>
  <c r="H239"/>
  <c r="H240"/>
  <c r="H242"/>
  <c r="H245"/>
  <c r="H246"/>
  <c r="H247"/>
  <c r="H248"/>
  <c r="H249"/>
  <c r="H250"/>
  <c r="H228" l="1"/>
  <c r="H227" s="1"/>
  <c r="G61" l="1"/>
  <c r="H61"/>
  <c r="F61"/>
  <c r="C61"/>
  <c r="H476" i="1"/>
  <c r="H475" s="1"/>
  <c r="I476"/>
  <c r="I475" s="1"/>
  <c r="G476"/>
  <c r="G475" s="1"/>
  <c r="G36" i="2"/>
  <c r="H36"/>
  <c r="F36"/>
  <c r="C36"/>
  <c r="G194"/>
  <c r="H194"/>
  <c r="F194"/>
  <c r="H599" i="1"/>
  <c r="H598" s="1"/>
  <c r="I599"/>
  <c r="I598" s="1"/>
  <c r="G599"/>
  <c r="G598" s="1"/>
  <c r="H275"/>
  <c r="I275"/>
  <c r="G275"/>
  <c r="C42" i="2"/>
  <c r="H643" i="1"/>
  <c r="H642" s="1"/>
  <c r="G42" i="2" s="1"/>
  <c r="I643" i="1"/>
  <c r="I642" s="1"/>
  <c r="H42" i="2" s="1"/>
  <c r="G643" i="1"/>
  <c r="G642" s="1"/>
  <c r="F42" i="2" s="1"/>
  <c r="G48" l="1"/>
  <c r="G47" s="1"/>
  <c r="H48"/>
  <c r="H47" s="1"/>
  <c r="F48"/>
  <c r="F47" s="1"/>
  <c r="C48"/>
  <c r="H672" i="1"/>
  <c r="H671" s="1"/>
  <c r="H670" s="1"/>
  <c r="I672"/>
  <c r="I671" s="1"/>
  <c r="I670" s="1"/>
  <c r="G672"/>
  <c r="G671" s="1"/>
  <c r="G670" s="1"/>
  <c r="G183" i="2" l="1"/>
  <c r="H183"/>
  <c r="F183"/>
  <c r="C183"/>
  <c r="C181" l="1"/>
  <c r="C69"/>
  <c r="G518" i="1" l="1"/>
  <c r="G517" s="1"/>
  <c r="F69" i="2" s="1"/>
  <c r="H518" i="1"/>
  <c r="H517" s="1"/>
  <c r="G69" i="2" s="1"/>
  <c r="I518" i="1"/>
  <c r="I517" s="1"/>
  <c r="H69" i="2" s="1"/>
  <c r="G411" i="1" l="1"/>
  <c r="H411"/>
  <c r="I411"/>
  <c r="H413"/>
  <c r="I413"/>
  <c r="I410" l="1"/>
  <c r="H410"/>
  <c r="H270" i="2"/>
  <c r="F20" i="3"/>
  <c r="F22"/>
  <c r="F65"/>
  <c r="G248" i="2"/>
  <c r="F248"/>
  <c r="G247"/>
  <c r="F247"/>
  <c r="C247"/>
  <c r="H347" i="1"/>
  <c r="I347"/>
  <c r="G347"/>
  <c r="H345"/>
  <c r="I345"/>
  <c r="G345"/>
  <c r="G344" l="1"/>
  <c r="I344"/>
  <c r="H344"/>
  <c r="G533" l="1"/>
  <c r="G532" s="1"/>
  <c r="H533"/>
  <c r="H532" s="1"/>
  <c r="I533"/>
  <c r="I532" s="1"/>
  <c r="G536"/>
  <c r="H536"/>
  <c r="I536"/>
  <c r="H540"/>
  <c r="I540"/>
  <c r="H535" l="1"/>
  <c r="H531" s="1"/>
  <c r="I535"/>
  <c r="I531" s="1"/>
  <c r="I559"/>
  <c r="I557"/>
  <c r="I555"/>
  <c r="I473"/>
  <c r="I472" s="1"/>
  <c r="I554" l="1"/>
  <c r="I553" s="1"/>
  <c r="I640"/>
  <c r="I639" s="1"/>
  <c r="I453"/>
  <c r="I452" s="1"/>
  <c r="I450"/>
  <c r="I449" s="1"/>
  <c r="I441"/>
  <c r="I440" s="1"/>
  <c r="I357"/>
  <c r="I355"/>
  <c r="I352"/>
  <c r="I351" s="1"/>
  <c r="I340"/>
  <c r="I342"/>
  <c r="I334"/>
  <c r="I333" s="1"/>
  <c r="I332" s="1"/>
  <c r="I331" s="1"/>
  <c r="I330" s="1"/>
  <c r="I328"/>
  <c r="I327" s="1"/>
  <c r="I326" s="1"/>
  <c r="I325" s="1"/>
  <c r="I324" s="1"/>
  <c r="I322"/>
  <c r="I315"/>
  <c r="I313"/>
  <c r="I293"/>
  <c r="I291"/>
  <c r="I284"/>
  <c r="I283" s="1"/>
  <c r="I281"/>
  <c r="I280" s="1"/>
  <c r="I273"/>
  <c r="I255"/>
  <c r="I254" s="1"/>
  <c r="I249"/>
  <c r="I248" s="1"/>
  <c r="I240"/>
  <c r="I236"/>
  <c r="I235" s="1"/>
  <c r="I230"/>
  <c r="I228"/>
  <c r="I213"/>
  <c r="I212" s="1"/>
  <c r="I210"/>
  <c r="I209" s="1"/>
  <c r="I207"/>
  <c r="I206" s="1"/>
  <c r="I200"/>
  <c r="I199" s="1"/>
  <c r="I198" s="1"/>
  <c r="I191"/>
  <c r="I193"/>
  <c r="I182"/>
  <c r="I181" s="1"/>
  <c r="I187"/>
  <c r="I186" s="1"/>
  <c r="I185" s="1"/>
  <c r="I176"/>
  <c r="I175" s="1"/>
  <c r="I173"/>
  <c r="I172" s="1"/>
  <c r="I170"/>
  <c r="I168"/>
  <c r="I163"/>
  <c r="I157"/>
  <c r="I156" s="1"/>
  <c r="I151"/>
  <c r="I150" s="1"/>
  <c r="I145"/>
  <c r="I144" s="1"/>
  <c r="I142"/>
  <c r="I140"/>
  <c r="I138"/>
  <c r="I247" l="1"/>
  <c r="I246"/>
  <c r="I234"/>
  <c r="I233" s="1"/>
  <c r="I253"/>
  <c r="I252" s="1"/>
  <c r="I251" s="1"/>
  <c r="I552"/>
  <c r="I551" s="1"/>
  <c r="I272"/>
  <c r="I271" s="1"/>
  <c r="I270" s="1"/>
  <c r="I269" s="1"/>
  <c r="F36" i="3" s="1"/>
  <c r="I321" i="1"/>
  <c r="I320" s="1"/>
  <c r="I319" s="1"/>
  <c r="I318" s="1"/>
  <c r="F53" i="3"/>
  <c r="I190" i="1"/>
  <c r="I189" s="1"/>
  <c r="I184" s="1"/>
  <c r="I339"/>
  <c r="I354"/>
  <c r="I350" s="1"/>
  <c r="I349" s="1"/>
  <c r="I312"/>
  <c r="I311" s="1"/>
  <c r="I310" s="1"/>
  <c r="I309" s="1"/>
  <c r="I308" s="1"/>
  <c r="I290"/>
  <c r="I289" s="1"/>
  <c r="I288" s="1"/>
  <c r="I287" s="1"/>
  <c r="I286" s="1"/>
  <c r="I279"/>
  <c r="I278" s="1"/>
  <c r="I277" s="1"/>
  <c r="I227"/>
  <c r="I226" s="1"/>
  <c r="I225" s="1"/>
  <c r="I205"/>
  <c r="I197" s="1"/>
  <c r="I196" s="1"/>
  <c r="I195" s="1"/>
  <c r="I167"/>
  <c r="I162"/>
  <c r="I155"/>
  <c r="I154"/>
  <c r="I153" s="1"/>
  <c r="I149"/>
  <c r="I148"/>
  <c r="I147" s="1"/>
  <c r="I137"/>
  <c r="I136" s="1"/>
  <c r="I268" l="1"/>
  <c r="I245"/>
  <c r="F34" i="3"/>
  <c r="I135" i="1"/>
  <c r="I134" s="1"/>
  <c r="F19" i="3" s="1"/>
  <c r="I161" i="1"/>
  <c r="I160" s="1"/>
  <c r="I159" s="1"/>
  <c r="F48" i="3"/>
  <c r="I224" i="1"/>
  <c r="F30" i="3"/>
  <c r="I232" i="1"/>
  <c r="F31" i="3"/>
  <c r="F41"/>
  <c r="F40" s="1"/>
  <c r="F37"/>
  <c r="F35" s="1"/>
  <c r="I338" i="1"/>
  <c r="I337" s="1"/>
  <c r="I336" s="1"/>
  <c r="I215" l="1"/>
  <c r="I317"/>
  <c r="F56" i="3"/>
  <c r="I588" i="1"/>
  <c r="I586"/>
  <c r="I572"/>
  <c r="I571" s="1"/>
  <c r="I567"/>
  <c r="I569"/>
  <c r="I529"/>
  <c r="I528" s="1"/>
  <c r="I527" s="1"/>
  <c r="I526" s="1"/>
  <c r="I500"/>
  <c r="I499" s="1"/>
  <c r="I497"/>
  <c r="I496" s="1"/>
  <c r="I488"/>
  <c r="I487" s="1"/>
  <c r="I471" s="1"/>
  <c r="I470" s="1"/>
  <c r="I485"/>
  <c r="I484" s="1"/>
  <c r="I456"/>
  <c r="I455" s="1"/>
  <c r="I439" s="1"/>
  <c r="I683"/>
  <c r="I682" s="1"/>
  <c r="I681" s="1"/>
  <c r="I679"/>
  <c r="I678" s="1"/>
  <c r="I677" s="1"/>
  <c r="I668"/>
  <c r="I666"/>
  <c r="I664"/>
  <c r="I649"/>
  <c r="I648" s="1"/>
  <c r="I638" s="1"/>
  <c r="I636"/>
  <c r="I635" s="1"/>
  <c r="I633"/>
  <c r="I632" s="1"/>
  <c r="I629"/>
  <c r="I628" s="1"/>
  <c r="I626"/>
  <c r="I625" s="1"/>
  <c r="I619"/>
  <c r="I618" s="1"/>
  <c r="I617" s="1"/>
  <c r="I615"/>
  <c r="I614" s="1"/>
  <c r="I612"/>
  <c r="I611" s="1"/>
  <c r="I608"/>
  <c r="I607" s="1"/>
  <c r="I605"/>
  <c r="I604" s="1"/>
  <c r="I596"/>
  <c r="I595" s="1"/>
  <c r="I594" s="1"/>
  <c r="I631" l="1"/>
  <c r="I603"/>
  <c r="I593"/>
  <c r="I592" s="1"/>
  <c r="I525"/>
  <c r="I610"/>
  <c r="I438"/>
  <c r="I437" s="1"/>
  <c r="I566"/>
  <c r="I585"/>
  <c r="I584" s="1"/>
  <c r="I583" s="1"/>
  <c r="I582" s="1"/>
  <c r="F55" i="3" s="1"/>
  <c r="I676" i="1"/>
  <c r="I675" s="1"/>
  <c r="I663"/>
  <c r="I662" s="1"/>
  <c r="I661" s="1"/>
  <c r="I624"/>
  <c r="I565" l="1"/>
  <c r="I564" s="1"/>
  <c r="I563" s="1"/>
  <c r="I562" s="1"/>
  <c r="F46" i="3"/>
  <c r="I660" i="1"/>
  <c r="F51" i="3" s="1"/>
  <c r="I674" i="1"/>
  <c r="F58" i="3"/>
  <c r="F57" s="1"/>
  <c r="F44"/>
  <c r="I469" i="1"/>
  <c r="F45" i="3"/>
  <c r="I602" i="1"/>
  <c r="I601" s="1"/>
  <c r="I623"/>
  <c r="I622" s="1"/>
  <c r="I436" l="1"/>
  <c r="I435" s="1"/>
  <c r="F54" i="3"/>
  <c r="F52" s="1"/>
  <c r="I621" i="1"/>
  <c r="F50" i="3"/>
  <c r="F49" s="1"/>
  <c r="I591" i="1"/>
  <c r="I590" s="1"/>
  <c r="I132"/>
  <c r="I131" s="1"/>
  <c r="I130" s="1"/>
  <c r="I129" s="1"/>
  <c r="I128" s="1"/>
  <c r="I108"/>
  <c r="I107" s="1"/>
  <c r="I114"/>
  <c r="I113" s="1"/>
  <c r="I112" s="1"/>
  <c r="I111" s="1"/>
  <c r="I110" s="1"/>
  <c r="I105"/>
  <c r="I104" s="1"/>
  <c r="I98"/>
  <c r="I97" s="1"/>
  <c r="I96" s="1"/>
  <c r="I95" s="1"/>
  <c r="I94" s="1"/>
  <c r="I85"/>
  <c r="I84" s="1"/>
  <c r="I83" s="1"/>
  <c r="I82" s="1"/>
  <c r="I81" s="1"/>
  <c r="I80" s="1"/>
  <c r="I64"/>
  <c r="I63" s="1"/>
  <c r="I62" s="1"/>
  <c r="F29" i="3"/>
  <c r="I61" i="1" l="1"/>
  <c r="I60" s="1"/>
  <c r="I53" s="1"/>
  <c r="F64" i="3"/>
  <c r="I127" i="1"/>
  <c r="I126" s="1"/>
  <c r="F17" i="3"/>
  <c r="F61"/>
  <c r="F60" s="1"/>
  <c r="F47"/>
  <c r="F43" s="1"/>
  <c r="I103" i="1"/>
  <c r="I102" s="1"/>
  <c r="I101" s="1"/>
  <c r="F32" i="3" l="1"/>
  <c r="F28" s="1"/>
  <c r="I100" i="1"/>
  <c r="F63" i="3"/>
  <c r="F62" s="1"/>
  <c r="I44" i="1"/>
  <c r="I43" s="1"/>
  <c r="I37"/>
  <c r="I36" s="1"/>
  <c r="I31"/>
  <c r="I30" s="1"/>
  <c r="G27"/>
  <c r="H27"/>
  <c r="I27"/>
  <c r="I25"/>
  <c r="I23"/>
  <c r="I713"/>
  <c r="I711"/>
  <c r="I709"/>
  <c r="I716"/>
  <c r="I715" s="1"/>
  <c r="I722"/>
  <c r="I721" s="1"/>
  <c r="I719"/>
  <c r="I718" s="1"/>
  <c r="I698"/>
  <c r="I697" s="1"/>
  <c r="I695"/>
  <c r="I693"/>
  <c r="I691"/>
  <c r="I433"/>
  <c r="I432" s="1"/>
  <c r="I430"/>
  <c r="I429" s="1"/>
  <c r="I425"/>
  <c r="I423"/>
  <c r="I421"/>
  <c r="I404"/>
  <c r="I408"/>
  <c r="I406"/>
  <c r="I387"/>
  <c r="I389"/>
  <c r="I391"/>
  <c r="I394"/>
  <c r="I396"/>
  <c r="I374"/>
  <c r="I376"/>
  <c r="I372"/>
  <c r="I379"/>
  <c r="I378" s="1"/>
  <c r="H267" i="2"/>
  <c r="H268"/>
  <c r="H269"/>
  <c r="H256"/>
  <c r="H257"/>
  <c r="H258"/>
  <c r="H260"/>
  <c r="H261"/>
  <c r="H262"/>
  <c r="H264"/>
  <c r="H222"/>
  <c r="H223"/>
  <c r="H224"/>
  <c r="H225"/>
  <c r="H216"/>
  <c r="H217"/>
  <c r="H218"/>
  <c r="H219"/>
  <c r="H201"/>
  <c r="H202"/>
  <c r="H214"/>
  <c r="H215"/>
  <c r="H193"/>
  <c r="H195"/>
  <c r="H197"/>
  <c r="H196" s="1"/>
  <c r="H188"/>
  <c r="H187" s="1"/>
  <c r="H181"/>
  <c r="H180" s="1"/>
  <c r="H174"/>
  <c r="H176"/>
  <c r="H170"/>
  <c r="H171"/>
  <c r="H166"/>
  <c r="H165" s="1"/>
  <c r="H158"/>
  <c r="H161"/>
  <c r="H162"/>
  <c r="H163"/>
  <c r="H153"/>
  <c r="H154"/>
  <c r="H155"/>
  <c r="H156"/>
  <c r="H149"/>
  <c r="H150"/>
  <c r="H140"/>
  <c r="H139" s="1"/>
  <c r="H138"/>
  <c r="H137"/>
  <c r="H136"/>
  <c r="H135"/>
  <c r="H128"/>
  <c r="H125"/>
  <c r="H118"/>
  <c r="H119"/>
  <c r="H120"/>
  <c r="H121"/>
  <c r="H122"/>
  <c r="H114"/>
  <c r="H115"/>
  <c r="H116"/>
  <c r="H104"/>
  <c r="H105"/>
  <c r="H106"/>
  <c r="H108"/>
  <c r="H109"/>
  <c r="H111"/>
  <c r="H110" s="1"/>
  <c r="H94"/>
  <c r="H95"/>
  <c r="H96"/>
  <c r="H97"/>
  <c r="H98"/>
  <c r="H99"/>
  <c r="H100"/>
  <c r="H101"/>
  <c r="H85"/>
  <c r="H86"/>
  <c r="H87"/>
  <c r="H88"/>
  <c r="H89"/>
  <c r="H60"/>
  <c r="H62"/>
  <c r="H63"/>
  <c r="H64"/>
  <c r="H65"/>
  <c r="H66"/>
  <c r="H73"/>
  <c r="H74"/>
  <c r="H78"/>
  <c r="H51"/>
  <c r="H52"/>
  <c r="H53"/>
  <c r="H54"/>
  <c r="H35"/>
  <c r="H39"/>
  <c r="H40"/>
  <c r="H41"/>
  <c r="H43"/>
  <c r="H44"/>
  <c r="H32"/>
  <c r="H33"/>
  <c r="H26"/>
  <c r="H27"/>
  <c r="H28"/>
  <c r="H29"/>
  <c r="H30"/>
  <c r="H23"/>
  <c r="H24"/>
  <c r="H18"/>
  <c r="H16" s="1"/>
  <c r="H20"/>
  <c r="H19" s="1"/>
  <c r="H152" l="1"/>
  <c r="H50"/>
  <c r="H59"/>
  <c r="H84"/>
  <c r="H34"/>
  <c r="H221"/>
  <c r="H220" s="1"/>
  <c r="H173"/>
  <c r="H148"/>
  <c r="H169"/>
  <c r="H164" s="1"/>
  <c r="H93"/>
  <c r="I393" i="1"/>
  <c r="H31" i="2"/>
  <c r="H103"/>
  <c r="H25"/>
  <c r="H266"/>
  <c r="H265" s="1"/>
  <c r="H124"/>
  <c r="H117"/>
  <c r="H192"/>
  <c r="H263"/>
  <c r="H259" s="1"/>
  <c r="I386" i="1"/>
  <c r="H22" i="2"/>
  <c r="H107"/>
  <c r="H200"/>
  <c r="H160"/>
  <c r="H113"/>
  <c r="I42" i="1"/>
  <c r="I41"/>
  <c r="I40"/>
  <c r="I35"/>
  <c r="I34"/>
  <c r="I33" s="1"/>
  <c r="I22"/>
  <c r="I21" s="1"/>
  <c r="I708"/>
  <c r="I690"/>
  <c r="I428"/>
  <c r="I427" s="1"/>
  <c r="H255" i="2"/>
  <c r="I420" i="1"/>
  <c r="I419" s="1"/>
  <c r="I418" s="1"/>
  <c r="I403"/>
  <c r="I402" s="1"/>
  <c r="I371"/>
  <c r="I370" s="1"/>
  <c r="H213" i="2"/>
  <c r="H212" s="1"/>
  <c r="H134"/>
  <c r="H15"/>
  <c r="H251" l="1"/>
  <c r="I689" i="1"/>
  <c r="I688" s="1"/>
  <c r="I687" s="1"/>
  <c r="I686" s="1"/>
  <c r="I685" s="1"/>
  <c r="I385"/>
  <c r="I384" s="1"/>
  <c r="I383" s="1"/>
  <c r="I382" s="1"/>
  <c r="I381" s="1"/>
  <c r="H185" i="2"/>
  <c r="I369" i="1"/>
  <c r="I368" s="1"/>
  <c r="F27" i="3" s="1"/>
  <c r="I401" i="1"/>
  <c r="I400" s="1"/>
  <c r="I399" s="1"/>
  <c r="I398" s="1"/>
  <c r="I20"/>
  <c r="I19" s="1"/>
  <c r="H143" i="2"/>
  <c r="H151"/>
  <c r="I39" i="1"/>
  <c r="F25" i="3"/>
  <c r="F24" s="1"/>
  <c r="H49" i="2"/>
  <c r="H102"/>
  <c r="H172"/>
  <c r="H21"/>
  <c r="I417" i="1"/>
  <c r="I416" s="1"/>
  <c r="I415" s="1"/>
  <c r="H112" i="2"/>
  <c r="I707" i="1"/>
  <c r="I706" s="1"/>
  <c r="I705" s="1"/>
  <c r="H123" i="2"/>
  <c r="H271" l="1"/>
  <c r="F26" i="3"/>
  <c r="I367" i="1"/>
  <c r="I366" s="1"/>
  <c r="I18"/>
  <c r="F21" i="3"/>
  <c r="I704" i="1"/>
  <c r="I703" s="1"/>
  <c r="F18" i="3"/>
  <c r="F23"/>
  <c r="F225" i="2"/>
  <c r="G225"/>
  <c r="C225"/>
  <c r="G698" i="1"/>
  <c r="G697" s="1"/>
  <c r="H698"/>
  <c r="H697" s="1"/>
  <c r="I17" l="1"/>
  <c r="I725" s="1"/>
  <c r="I727" s="1"/>
  <c r="F16" i="3"/>
  <c r="F66" s="1"/>
  <c r="F68" l="1"/>
  <c r="H273" i="2"/>
  <c r="F105"/>
  <c r="G105"/>
  <c r="G85" i="1"/>
  <c r="G84" s="1"/>
  <c r="G83" s="1"/>
  <c r="G82" s="1"/>
  <c r="G81" s="1"/>
  <c r="G80" s="1"/>
  <c r="H85"/>
  <c r="H84" s="1"/>
  <c r="H83" s="1"/>
  <c r="H82" s="1"/>
  <c r="H81" s="1"/>
  <c r="H80" s="1"/>
  <c r="H421" l="1"/>
  <c r="G268" i="2" l="1"/>
  <c r="F269"/>
  <c r="G269"/>
  <c r="G260"/>
  <c r="F261"/>
  <c r="G261"/>
  <c r="F262"/>
  <c r="G262"/>
  <c r="F263"/>
  <c r="F264"/>
  <c r="G264"/>
  <c r="F256"/>
  <c r="F257"/>
  <c r="F258"/>
  <c r="F245"/>
  <c r="G245"/>
  <c r="F246"/>
  <c r="G246"/>
  <c r="F249"/>
  <c r="G249"/>
  <c r="F250"/>
  <c r="G250"/>
  <c r="F229"/>
  <c r="G229"/>
  <c r="F230"/>
  <c r="G230"/>
  <c r="F231"/>
  <c r="G231"/>
  <c r="F232"/>
  <c r="G232"/>
  <c r="F233"/>
  <c r="G233"/>
  <c r="G234"/>
  <c r="F235"/>
  <c r="G235"/>
  <c r="F236"/>
  <c r="G236"/>
  <c r="F237"/>
  <c r="G237"/>
  <c r="F238"/>
  <c r="G238"/>
  <c r="F239"/>
  <c r="G239"/>
  <c r="F240"/>
  <c r="G240"/>
  <c r="F242"/>
  <c r="G242"/>
  <c r="F222"/>
  <c r="G222"/>
  <c r="F223"/>
  <c r="G223"/>
  <c r="F224"/>
  <c r="G224"/>
  <c r="F214"/>
  <c r="G214"/>
  <c r="G215"/>
  <c r="F216"/>
  <c r="G216"/>
  <c r="F217"/>
  <c r="G217"/>
  <c r="F218"/>
  <c r="G218"/>
  <c r="F219"/>
  <c r="G219"/>
  <c r="F201"/>
  <c r="G201"/>
  <c r="F202"/>
  <c r="G202"/>
  <c r="F195"/>
  <c r="G195"/>
  <c r="F197"/>
  <c r="F196" s="1"/>
  <c r="F174"/>
  <c r="G174"/>
  <c r="F176"/>
  <c r="G176"/>
  <c r="F170"/>
  <c r="G170"/>
  <c r="F171"/>
  <c r="G171"/>
  <c r="G153"/>
  <c r="F154"/>
  <c r="G154"/>
  <c r="F155"/>
  <c r="F158"/>
  <c r="G158"/>
  <c r="F149"/>
  <c r="G149"/>
  <c r="F150"/>
  <c r="G150"/>
  <c r="F137"/>
  <c r="G137"/>
  <c r="F138"/>
  <c r="G138"/>
  <c r="F135"/>
  <c r="G135"/>
  <c r="F136"/>
  <c r="G136"/>
  <c r="F128"/>
  <c r="G128"/>
  <c r="F125"/>
  <c r="G125"/>
  <c r="F118"/>
  <c r="G118"/>
  <c r="F119"/>
  <c r="G119"/>
  <c r="F120"/>
  <c r="G120"/>
  <c r="F121"/>
  <c r="G121"/>
  <c r="F122"/>
  <c r="G122"/>
  <c r="F114"/>
  <c r="G114"/>
  <c r="F115"/>
  <c r="G115"/>
  <c r="F116"/>
  <c r="G116"/>
  <c r="F111"/>
  <c r="G111"/>
  <c r="F108"/>
  <c r="G108"/>
  <c r="F104"/>
  <c r="G104"/>
  <c r="G106"/>
  <c r="F94"/>
  <c r="G94"/>
  <c r="F95"/>
  <c r="G95"/>
  <c r="F96"/>
  <c r="G96"/>
  <c r="F97"/>
  <c r="G97"/>
  <c r="F98"/>
  <c r="G98"/>
  <c r="F99"/>
  <c r="G99"/>
  <c r="F100"/>
  <c r="G100"/>
  <c r="F101"/>
  <c r="G101"/>
  <c r="G85"/>
  <c r="F86"/>
  <c r="F87"/>
  <c r="G87"/>
  <c r="F88"/>
  <c r="G88"/>
  <c r="F89"/>
  <c r="G73"/>
  <c r="F74"/>
  <c r="G74"/>
  <c r="F65"/>
  <c r="G65"/>
  <c r="G66"/>
  <c r="G60"/>
  <c r="G62"/>
  <c r="F63"/>
  <c r="G63"/>
  <c r="G64"/>
  <c r="F54"/>
  <c r="G54"/>
  <c r="F51"/>
  <c r="G51"/>
  <c r="F53"/>
  <c r="G53"/>
  <c r="G35"/>
  <c r="F39"/>
  <c r="G39"/>
  <c r="F40"/>
  <c r="G40"/>
  <c r="F41"/>
  <c r="G41"/>
  <c r="F43"/>
  <c r="G43"/>
  <c r="F44"/>
  <c r="G44"/>
  <c r="G32"/>
  <c r="G33"/>
  <c r="F26"/>
  <c r="G26"/>
  <c r="F27"/>
  <c r="G27"/>
  <c r="F28"/>
  <c r="G28"/>
  <c r="F29"/>
  <c r="G29"/>
  <c r="F30"/>
  <c r="G30"/>
  <c r="F124" l="1"/>
  <c r="G34"/>
  <c r="G228"/>
  <c r="G227" s="1"/>
  <c r="F221"/>
  <c r="G221"/>
  <c r="G220" s="1"/>
  <c r="F173"/>
  <c r="G173"/>
  <c r="F148"/>
  <c r="G148"/>
  <c r="F169"/>
  <c r="G169"/>
  <c r="F93"/>
  <c r="G93"/>
  <c r="G103"/>
  <c r="G31"/>
  <c r="G25"/>
  <c r="F25"/>
  <c r="G124"/>
  <c r="F117"/>
  <c r="G117"/>
  <c r="G134"/>
  <c r="G113"/>
  <c r="F113"/>
  <c r="F134"/>
  <c r="F23"/>
  <c r="G23"/>
  <c r="F24"/>
  <c r="G24"/>
  <c r="F20"/>
  <c r="G20"/>
  <c r="F18"/>
  <c r="F16" s="1"/>
  <c r="G18"/>
  <c r="G16" s="1"/>
  <c r="F166"/>
  <c r="F165" s="1"/>
  <c r="G166"/>
  <c r="G165" s="1"/>
  <c r="F140"/>
  <c r="G140"/>
  <c r="F110"/>
  <c r="G110"/>
  <c r="F164" l="1"/>
  <c r="G164"/>
  <c r="G22"/>
  <c r="F112"/>
  <c r="F22"/>
  <c r="G112"/>
  <c r="F220"/>
  <c r="F19"/>
  <c r="G19"/>
  <c r="G193"/>
  <c r="G192" s="1"/>
  <c r="G213"/>
  <c r="G212" s="1"/>
  <c r="G709" i="1"/>
  <c r="H709"/>
  <c r="H711"/>
  <c r="G713"/>
  <c r="H713"/>
  <c r="G716"/>
  <c r="G715" s="1"/>
  <c r="H716"/>
  <c r="H715" s="1"/>
  <c r="G719"/>
  <c r="G718" s="1"/>
  <c r="H719"/>
  <c r="H718" s="1"/>
  <c r="G722"/>
  <c r="G721" s="1"/>
  <c r="H722"/>
  <c r="H721" s="1"/>
  <c r="G270" i="2"/>
  <c r="H695" i="1"/>
  <c r="H693"/>
  <c r="H691"/>
  <c r="H649"/>
  <c r="H648" s="1"/>
  <c r="H668"/>
  <c r="H666"/>
  <c r="H664"/>
  <c r="G559"/>
  <c r="H559"/>
  <c r="G557"/>
  <c r="H557"/>
  <c r="G555"/>
  <c r="H555"/>
  <c r="H588"/>
  <c r="H569"/>
  <c r="H567"/>
  <c r="H566" s="1"/>
  <c r="H485"/>
  <c r="H484" s="1"/>
  <c r="H404"/>
  <c r="G408"/>
  <c r="H408"/>
  <c r="G387"/>
  <c r="H387"/>
  <c r="G389"/>
  <c r="H389"/>
  <c r="G391"/>
  <c r="H391"/>
  <c r="G394"/>
  <c r="H394"/>
  <c r="G396"/>
  <c r="H396"/>
  <c r="H372"/>
  <c r="F153" i="2"/>
  <c r="G374" i="1"/>
  <c r="H374"/>
  <c r="G376"/>
  <c r="G315"/>
  <c r="H315"/>
  <c r="G313"/>
  <c r="H313"/>
  <c r="G291"/>
  <c r="H291"/>
  <c r="H249"/>
  <c r="H248" s="1"/>
  <c r="G240"/>
  <c r="H240"/>
  <c r="G236"/>
  <c r="G235" s="1"/>
  <c r="H236"/>
  <c r="H235" s="1"/>
  <c r="G230"/>
  <c r="H230"/>
  <c r="G228"/>
  <c r="H228"/>
  <c r="G213"/>
  <c r="G212" s="1"/>
  <c r="F163" i="2" s="1"/>
  <c r="H213" i="1"/>
  <c r="H212" s="1"/>
  <c r="G163" i="2" s="1"/>
  <c r="G210" i="1"/>
  <c r="G209" s="1"/>
  <c r="F162" i="2" s="1"/>
  <c r="H210" i="1"/>
  <c r="H209" s="1"/>
  <c r="G162" i="2" s="1"/>
  <c r="G207" i="1"/>
  <c r="G206" s="1"/>
  <c r="H207"/>
  <c r="H206" s="1"/>
  <c r="G161" i="2" s="1"/>
  <c r="G200" i="1"/>
  <c r="G199" s="1"/>
  <c r="G198" s="1"/>
  <c r="H200"/>
  <c r="H199" s="1"/>
  <c r="H198" s="1"/>
  <c r="G193"/>
  <c r="H193"/>
  <c r="G191"/>
  <c r="H191"/>
  <c r="G187"/>
  <c r="G186" s="1"/>
  <c r="G185" s="1"/>
  <c r="H187"/>
  <c r="H186" s="1"/>
  <c r="H185" s="1"/>
  <c r="G182"/>
  <c r="G181" s="1"/>
  <c r="H182"/>
  <c r="H181" s="1"/>
  <c r="G179"/>
  <c r="G178" s="1"/>
  <c r="H179"/>
  <c r="H178" s="1"/>
  <c r="G176"/>
  <c r="G175" s="1"/>
  <c r="H176"/>
  <c r="H175" s="1"/>
  <c r="G173"/>
  <c r="G172" s="1"/>
  <c r="H173"/>
  <c r="H172" s="1"/>
  <c r="G170"/>
  <c r="H170"/>
  <c r="G168"/>
  <c r="H168"/>
  <c r="G165"/>
  <c r="G163"/>
  <c r="H163"/>
  <c r="G157"/>
  <c r="G156" s="1"/>
  <c r="G155" s="1"/>
  <c r="H157"/>
  <c r="H156" s="1"/>
  <c r="H151"/>
  <c r="H150" s="1"/>
  <c r="G145"/>
  <c r="G144" s="1"/>
  <c r="H145"/>
  <c r="H144" s="1"/>
  <c r="G142"/>
  <c r="H142"/>
  <c r="G140"/>
  <c r="H140"/>
  <c r="G138"/>
  <c r="H138"/>
  <c r="G132"/>
  <c r="G131" s="1"/>
  <c r="G130" s="1"/>
  <c r="G129" s="1"/>
  <c r="G128" s="1"/>
  <c r="D17" i="3" s="1"/>
  <c r="H132" i="1"/>
  <c r="H131" s="1"/>
  <c r="H130" s="1"/>
  <c r="H129" s="1"/>
  <c r="H128" s="1"/>
  <c r="E17" i="3" s="1"/>
  <c r="G357" i="1"/>
  <c r="H357"/>
  <c r="G355"/>
  <c r="H355"/>
  <c r="G352"/>
  <c r="G351" s="1"/>
  <c r="H352"/>
  <c r="H351" s="1"/>
  <c r="G342"/>
  <c r="H342"/>
  <c r="G340"/>
  <c r="H340"/>
  <c r="G334"/>
  <c r="G333" s="1"/>
  <c r="G332" s="1"/>
  <c r="G331" s="1"/>
  <c r="G330" s="1"/>
  <c r="G322"/>
  <c r="G321" s="1"/>
  <c r="G320" s="1"/>
  <c r="G319" s="1"/>
  <c r="G318" s="1"/>
  <c r="G284"/>
  <c r="G283" s="1"/>
  <c r="H284"/>
  <c r="H283" s="1"/>
  <c r="G281"/>
  <c r="G280" s="1"/>
  <c r="H281"/>
  <c r="H280" s="1"/>
  <c r="G273"/>
  <c r="H273"/>
  <c r="G255"/>
  <c r="G254" s="1"/>
  <c r="H255"/>
  <c r="H254" s="1"/>
  <c r="H247" l="1"/>
  <c r="H246"/>
  <c r="H245" s="1"/>
  <c r="H234"/>
  <c r="H233" s="1"/>
  <c r="H232" s="1"/>
  <c r="G234"/>
  <c r="G233" s="1"/>
  <c r="G232" s="1"/>
  <c r="G253"/>
  <c r="G252" s="1"/>
  <c r="G251" s="1"/>
  <c r="H253"/>
  <c r="H252" s="1"/>
  <c r="H251" s="1"/>
  <c r="G272"/>
  <c r="G271" s="1"/>
  <c r="G270" s="1"/>
  <c r="G269" s="1"/>
  <c r="D36" i="3" s="1"/>
  <c r="H272" i="1"/>
  <c r="H271" s="1"/>
  <c r="H270" s="1"/>
  <c r="H269" s="1"/>
  <c r="E36" i="3" s="1"/>
  <c r="G312" i="1"/>
  <c r="G311" s="1"/>
  <c r="G310" s="1"/>
  <c r="G309" s="1"/>
  <c r="G308" s="1"/>
  <c r="H708"/>
  <c r="H707" s="1"/>
  <c r="H706" s="1"/>
  <c r="H705" s="1"/>
  <c r="H690"/>
  <c r="H137"/>
  <c r="H136" s="1"/>
  <c r="G354"/>
  <c r="G350" s="1"/>
  <c r="G349" s="1"/>
  <c r="H312"/>
  <c r="H311" s="1"/>
  <c r="H310" s="1"/>
  <c r="H309" s="1"/>
  <c r="H308" s="1"/>
  <c r="H554"/>
  <c r="H553" s="1"/>
  <c r="G137"/>
  <c r="G136" s="1"/>
  <c r="G393"/>
  <c r="G554"/>
  <c r="G553" s="1"/>
  <c r="G15" i="2"/>
  <c r="G160"/>
  <c r="F156"/>
  <c r="F152" s="1"/>
  <c r="H393" i="1"/>
  <c r="E65" i="3"/>
  <c r="H293" i="1"/>
  <c r="H290" s="1"/>
  <c r="H289" s="1"/>
  <c r="H288" s="1"/>
  <c r="H287" s="1"/>
  <c r="H286" s="1"/>
  <c r="G372"/>
  <c r="G371" s="1"/>
  <c r="H354"/>
  <c r="H350" s="1"/>
  <c r="H349" s="1"/>
  <c r="G205"/>
  <c r="F161" i="2"/>
  <c r="F160" s="1"/>
  <c r="H328" i="1"/>
  <c r="H327" s="1"/>
  <c r="H326" s="1"/>
  <c r="H325" s="1"/>
  <c r="H324" s="1"/>
  <c r="G188" i="2"/>
  <c r="G187" s="1"/>
  <c r="H386" i="1"/>
  <c r="H334"/>
  <c r="H333" s="1"/>
  <c r="H332" s="1"/>
  <c r="H331" s="1"/>
  <c r="H330" s="1"/>
  <c r="G197" i="2"/>
  <c r="G196" s="1"/>
  <c r="G156"/>
  <c r="G386" i="1"/>
  <c r="F15" i="2"/>
  <c r="H205" i="1"/>
  <c r="G339"/>
  <c r="H663"/>
  <c r="H662" s="1"/>
  <c r="H661" s="1"/>
  <c r="H227"/>
  <c r="H226" s="1"/>
  <c r="H225" s="1"/>
  <c r="H224" s="1"/>
  <c r="G227"/>
  <c r="G226" s="1"/>
  <c r="G225" s="1"/>
  <c r="G224" s="1"/>
  <c r="H190"/>
  <c r="H189" s="1"/>
  <c r="H184" s="1"/>
  <c r="G190"/>
  <c r="G189" s="1"/>
  <c r="G184" s="1"/>
  <c r="H167"/>
  <c r="G167"/>
  <c r="H162"/>
  <c r="G162"/>
  <c r="H155"/>
  <c r="H154"/>
  <c r="H153" s="1"/>
  <c r="G154"/>
  <c r="G153" s="1"/>
  <c r="H149"/>
  <c r="H148"/>
  <c r="H147" s="1"/>
  <c r="H339"/>
  <c r="G279"/>
  <c r="G278" s="1"/>
  <c r="G277" s="1"/>
  <c r="D37" i="3" s="1"/>
  <c r="H279" i="1"/>
  <c r="H278" s="1"/>
  <c r="H277" s="1"/>
  <c r="F143" i="2"/>
  <c r="H215" i="1" l="1"/>
  <c r="H689"/>
  <c r="H688" s="1"/>
  <c r="H687" s="1"/>
  <c r="H686" s="1"/>
  <c r="H685" s="1"/>
  <c r="G268"/>
  <c r="H268"/>
  <c r="G385"/>
  <c r="H385"/>
  <c r="G135"/>
  <c r="G134" s="1"/>
  <c r="D19" i="3" s="1"/>
  <c r="H135" i="1"/>
  <c r="H134" s="1"/>
  <c r="E19" i="3" s="1"/>
  <c r="H552" i="1"/>
  <c r="H551" s="1"/>
  <c r="G552"/>
  <c r="G551" s="1"/>
  <c r="H660"/>
  <c r="E51" i="3" s="1"/>
  <c r="H161" i="1"/>
  <c r="H160" s="1"/>
  <c r="H159" s="1"/>
  <c r="G161"/>
  <c r="G160" s="1"/>
  <c r="G159" s="1"/>
  <c r="H338"/>
  <c r="H337" s="1"/>
  <c r="G338"/>
  <c r="G337" s="1"/>
  <c r="F151" i="2"/>
  <c r="H197" i="1"/>
  <c r="H196" s="1"/>
  <c r="H195" s="1"/>
  <c r="G197"/>
  <c r="G196" s="1"/>
  <c r="G195" s="1"/>
  <c r="H704"/>
  <c r="H703" s="1"/>
  <c r="E18" i="3"/>
  <c r="G89" i="2"/>
  <c r="G540" i="1"/>
  <c r="G86" i="2"/>
  <c r="G84" s="1"/>
  <c r="H336" i="1" l="1"/>
  <c r="E56" i="3" s="1"/>
  <c r="G336" i="1"/>
  <c r="D56" i="3" s="1"/>
  <c r="H127" i="1"/>
  <c r="G535"/>
  <c r="G531" s="1"/>
  <c r="G615" l="1"/>
  <c r="G614" s="1"/>
  <c r="F109" i="2" s="1"/>
  <c r="F107" s="1"/>
  <c r="F73"/>
  <c r="F64"/>
  <c r="F62"/>
  <c r="F60"/>
  <c r="G293" i="1" l="1"/>
  <c r="G290" s="1"/>
  <c r="G289" s="1"/>
  <c r="G288" s="1"/>
  <c r="G328"/>
  <c r="G327" s="1"/>
  <c r="G326" s="1"/>
  <c r="G325" s="1"/>
  <c r="G324" s="1"/>
  <c r="G317" s="1"/>
  <c r="F188" i="2"/>
  <c r="F187" s="1"/>
  <c r="F234"/>
  <c r="F228" s="1"/>
  <c r="F268"/>
  <c r="G267"/>
  <c r="G266" s="1"/>
  <c r="F267"/>
  <c r="F270"/>
  <c r="F85"/>
  <c r="F84" s="1"/>
  <c r="H596" i="1"/>
  <c r="H595" s="1"/>
  <c r="H594" s="1"/>
  <c r="F35" i="2"/>
  <c r="F34" s="1"/>
  <c r="F32"/>
  <c r="F33"/>
  <c r="G406" i="1"/>
  <c r="H406"/>
  <c r="F215" i="2"/>
  <c r="C250"/>
  <c r="C195"/>
  <c r="G181"/>
  <c r="G180" s="1"/>
  <c r="F181"/>
  <c r="F180" s="1"/>
  <c r="F260"/>
  <c r="F259" s="1"/>
  <c r="C78"/>
  <c r="G572" i="1"/>
  <c r="G571" s="1"/>
  <c r="F78" i="2" s="1"/>
  <c r="H572" i="1"/>
  <c r="C269" i="2"/>
  <c r="G98" i="1"/>
  <c r="G97" s="1"/>
  <c r="G96" s="1"/>
  <c r="G95" s="1"/>
  <c r="G94" s="1"/>
  <c r="D61" i="3" s="1"/>
  <c r="D60" s="1"/>
  <c r="H98" i="1"/>
  <c r="H97" s="1"/>
  <c r="H96" s="1"/>
  <c r="H95" s="1"/>
  <c r="H94" s="1"/>
  <c r="E61" i="3" s="1"/>
  <c r="E60" s="1"/>
  <c r="C137" i="2"/>
  <c r="C136"/>
  <c r="C135"/>
  <c r="H322" i="1"/>
  <c r="H321" s="1"/>
  <c r="H320" s="1"/>
  <c r="H319" s="1"/>
  <c r="H318" s="1"/>
  <c r="H317" s="1"/>
  <c r="H126" s="1"/>
  <c r="F193" i="2"/>
  <c r="F192" s="1"/>
  <c r="C193"/>
  <c r="C249"/>
  <c r="C245"/>
  <c r="C166"/>
  <c r="C233"/>
  <c r="C122"/>
  <c r="G31" i="1"/>
  <c r="G30" s="1"/>
  <c r="H31"/>
  <c r="H30" s="1"/>
  <c r="C64" i="2"/>
  <c r="G497" i="1"/>
  <c r="G496" s="1"/>
  <c r="H497"/>
  <c r="H496" s="1"/>
  <c r="F66" i="2"/>
  <c r="C44"/>
  <c r="G649" i="1"/>
  <c r="G648" s="1"/>
  <c r="C218" i="2"/>
  <c r="C217"/>
  <c r="C263"/>
  <c r="G263"/>
  <c r="G259" s="1"/>
  <c r="G413" i="1"/>
  <c r="G410" s="1"/>
  <c r="G695"/>
  <c r="G683"/>
  <c r="G682" s="1"/>
  <c r="G681" s="1"/>
  <c r="H683"/>
  <c r="H682" s="1"/>
  <c r="H681" s="1"/>
  <c r="G619"/>
  <c r="G618" s="1"/>
  <c r="G617" s="1"/>
  <c r="H619"/>
  <c r="H618" s="1"/>
  <c r="H617" s="1"/>
  <c r="H615" s="1"/>
  <c r="G612"/>
  <c r="G611" s="1"/>
  <c r="G610" s="1"/>
  <c r="H612"/>
  <c r="H611" s="1"/>
  <c r="G567"/>
  <c r="G566" s="1"/>
  <c r="G565" s="1"/>
  <c r="C176" i="2"/>
  <c r="F139"/>
  <c r="G139"/>
  <c r="G640" i="1"/>
  <c r="G639" s="1"/>
  <c r="H640"/>
  <c r="H639" s="1"/>
  <c r="H638" s="1"/>
  <c r="G379"/>
  <c r="G378" s="1"/>
  <c r="G370" s="1"/>
  <c r="H379"/>
  <c r="H378" s="1"/>
  <c r="G64"/>
  <c r="G63" s="1"/>
  <c r="G62" s="1"/>
  <c r="C18" i="2"/>
  <c r="G679" i="1"/>
  <c r="G678" s="1"/>
  <c r="G677" s="1"/>
  <c r="H679"/>
  <c r="H678" s="1"/>
  <c r="H677" s="1"/>
  <c r="E20" i="3"/>
  <c r="C197" i="2"/>
  <c r="G425" i="1"/>
  <c r="C62" i="2"/>
  <c r="G485" i="1"/>
  <c r="G484" s="1"/>
  <c r="G450"/>
  <c r="C26" i="2"/>
  <c r="G668" i="1"/>
  <c r="G666"/>
  <c r="G441"/>
  <c r="G440" s="1"/>
  <c r="H441"/>
  <c r="H440" s="1"/>
  <c r="G423"/>
  <c r="G421"/>
  <c r="G256" i="2"/>
  <c r="C100"/>
  <c r="C98"/>
  <c r="C94"/>
  <c r="C85"/>
  <c r="C73"/>
  <c r="C65"/>
  <c r="C63"/>
  <c r="C60"/>
  <c r="C54"/>
  <c r="C53"/>
  <c r="C52"/>
  <c r="C51"/>
  <c r="G569" i="1"/>
  <c r="G588"/>
  <c r="G586"/>
  <c r="H586"/>
  <c r="H585" s="1"/>
  <c r="H584" s="1"/>
  <c r="H583" s="1"/>
  <c r="H582" s="1"/>
  <c r="E55" i="3" s="1"/>
  <c r="G500" i="1"/>
  <c r="G499" s="1"/>
  <c r="H500"/>
  <c r="H499" s="1"/>
  <c r="G488"/>
  <c r="G487" s="1"/>
  <c r="H488"/>
  <c r="H487" s="1"/>
  <c r="G473"/>
  <c r="G472" s="1"/>
  <c r="H473"/>
  <c r="H472" s="1"/>
  <c r="G456"/>
  <c r="G455" s="1"/>
  <c r="H456"/>
  <c r="H455" s="1"/>
  <c r="G453"/>
  <c r="G452" s="1"/>
  <c r="H453"/>
  <c r="H452" s="1"/>
  <c r="D22" i="3"/>
  <c r="E22"/>
  <c r="C188" i="2"/>
  <c r="C201"/>
  <c r="C174"/>
  <c r="C153"/>
  <c r="C150"/>
  <c r="C149"/>
  <c r="C118"/>
  <c r="C116"/>
  <c r="C115"/>
  <c r="C114"/>
  <c r="C35"/>
  <c r="C39"/>
  <c r="C33"/>
  <c r="C32"/>
  <c r="C29"/>
  <c r="C24"/>
  <c r="C23"/>
  <c r="C22"/>
  <c r="C21"/>
  <c r="H608" i="1"/>
  <c r="H607" s="1"/>
  <c r="G693"/>
  <c r="G691"/>
  <c r="G664"/>
  <c r="H636"/>
  <c r="G633"/>
  <c r="G632" s="1"/>
  <c r="H633"/>
  <c r="H632" s="1"/>
  <c r="G605"/>
  <c r="G604" s="1"/>
  <c r="H605"/>
  <c r="H604" s="1"/>
  <c r="G629"/>
  <c r="G628" s="1"/>
  <c r="H629"/>
  <c r="H628" s="1"/>
  <c r="G626"/>
  <c r="G625" s="1"/>
  <c r="H626"/>
  <c r="H625" s="1"/>
  <c r="G596"/>
  <c r="G595" s="1"/>
  <c r="G594" s="1"/>
  <c r="D34" i="3"/>
  <c r="E34"/>
  <c r="G433" i="1"/>
  <c r="G432" s="1"/>
  <c r="G430"/>
  <c r="G429" s="1"/>
  <c r="H430"/>
  <c r="H429" s="1"/>
  <c r="G114"/>
  <c r="G113" s="1"/>
  <c r="G112" s="1"/>
  <c r="G111" s="1"/>
  <c r="G110" s="1"/>
  <c r="H114"/>
  <c r="H113" s="1"/>
  <c r="H112" s="1"/>
  <c r="H111" s="1"/>
  <c r="H110" s="1"/>
  <c r="G108"/>
  <c r="G107" s="1"/>
  <c r="H108"/>
  <c r="H107" s="1"/>
  <c r="G105"/>
  <c r="G104" s="1"/>
  <c r="H105"/>
  <c r="H104" s="1"/>
  <c r="D29" i="3"/>
  <c r="E29"/>
  <c r="H44" i="1"/>
  <c r="H43" s="1"/>
  <c r="H40" s="1"/>
  <c r="H39" s="1"/>
  <c r="G25"/>
  <c r="H25"/>
  <c r="G23"/>
  <c r="H23"/>
  <c r="G37"/>
  <c r="G36" s="1"/>
  <c r="G35" s="1"/>
  <c r="H37"/>
  <c r="H36" s="1"/>
  <c r="H34" s="1"/>
  <c r="H33" s="1"/>
  <c r="G471" l="1"/>
  <c r="F59" i="2"/>
  <c r="H471" i="1"/>
  <c r="H470" s="1"/>
  <c r="G638"/>
  <c r="H603"/>
  <c r="H450"/>
  <c r="G287"/>
  <c r="G286" s="1"/>
  <c r="F31" i="2"/>
  <c r="F266"/>
  <c r="F265" s="1"/>
  <c r="G369" i="1"/>
  <c r="G368" s="1"/>
  <c r="D27" i="3" s="1"/>
  <c r="G61" i="1"/>
  <c r="G60" s="1"/>
  <c r="G53" s="1"/>
  <c r="E64" i="3"/>
  <c r="D64"/>
  <c r="G593" i="1"/>
  <c r="G592" s="1"/>
  <c r="H593"/>
  <c r="H592" s="1"/>
  <c r="D20" i="3"/>
  <c r="G690" i="1"/>
  <c r="G44"/>
  <c r="G43" s="1"/>
  <c r="G42" s="1"/>
  <c r="G258" i="2"/>
  <c r="H425" i="1"/>
  <c r="G257" i="2"/>
  <c r="H423" i="1"/>
  <c r="H676"/>
  <c r="H675" s="1"/>
  <c r="E58" i="3" s="1"/>
  <c r="E57" s="1"/>
  <c r="F172" i="2"/>
  <c r="G608" i="1"/>
  <c r="G607" s="1"/>
  <c r="G603" s="1"/>
  <c r="F106" i="2"/>
  <c r="F103" s="1"/>
  <c r="H376" i="1"/>
  <c r="H371" s="1"/>
  <c r="H370" s="1"/>
  <c r="G155" i="2"/>
  <c r="G152" s="1"/>
  <c r="F227"/>
  <c r="F123"/>
  <c r="G449" i="1"/>
  <c r="G439" s="1"/>
  <c r="F213" i="2"/>
  <c r="F212" s="1"/>
  <c r="G711" i="1"/>
  <c r="G249"/>
  <c r="G248" s="1"/>
  <c r="G246" s="1"/>
  <c r="G404"/>
  <c r="G403" s="1"/>
  <c r="G402" s="1"/>
  <c r="H403"/>
  <c r="H402" s="1"/>
  <c r="G151"/>
  <c r="G150" s="1"/>
  <c r="H635"/>
  <c r="H631" s="1"/>
  <c r="H624"/>
  <c r="H614"/>
  <c r="G109" i="2" s="1"/>
  <c r="G107" s="1"/>
  <c r="G102" s="1"/>
  <c r="H571" i="1"/>
  <c r="H565" s="1"/>
  <c r="H564" s="1"/>
  <c r="H563" s="1"/>
  <c r="H562" s="1"/>
  <c r="H449"/>
  <c r="H439" s="1"/>
  <c r="G663"/>
  <c r="G662" s="1"/>
  <c r="G661" s="1"/>
  <c r="D65" i="3"/>
  <c r="G636" i="1"/>
  <c r="G635" s="1"/>
  <c r="G631" s="1"/>
  <c r="H64"/>
  <c r="H63" s="1"/>
  <c r="H62" s="1"/>
  <c r="G529"/>
  <c r="G528" s="1"/>
  <c r="G527" s="1"/>
  <c r="G585"/>
  <c r="G584" s="1"/>
  <c r="G583" s="1"/>
  <c r="G582" s="1"/>
  <c r="D55" i="3" s="1"/>
  <c r="G143" i="2"/>
  <c r="G22" i="1"/>
  <c r="G21" s="1"/>
  <c r="G676"/>
  <c r="G675" s="1"/>
  <c r="H529"/>
  <c r="H528" s="1"/>
  <c r="H527" s="1"/>
  <c r="H22"/>
  <c r="H21" s="1"/>
  <c r="G384"/>
  <c r="G383" s="1"/>
  <c r="G382" s="1"/>
  <c r="G381" s="1"/>
  <c r="G420"/>
  <c r="G419" s="1"/>
  <c r="G418" s="1"/>
  <c r="F200" i="2"/>
  <c r="G624" i="1"/>
  <c r="G428"/>
  <c r="G427" s="1"/>
  <c r="E37" i="3"/>
  <c r="D31"/>
  <c r="G200" i="2"/>
  <c r="G185" s="1"/>
  <c r="G172"/>
  <c r="F255"/>
  <c r="F251" s="1"/>
  <c r="G265"/>
  <c r="E25" i="3"/>
  <c r="E24" s="1"/>
  <c r="H35" i="1"/>
  <c r="E41" i="3"/>
  <c r="E40" s="1"/>
  <c r="H103" i="1"/>
  <c r="H102" s="1"/>
  <c r="H101" s="1"/>
  <c r="E63" i="3" s="1"/>
  <c r="G103" i="1"/>
  <c r="G102" s="1"/>
  <c r="G101" s="1"/>
  <c r="D63" i="3" s="1"/>
  <c r="G34" i="1"/>
  <c r="G33" s="1"/>
  <c r="E30" i="3"/>
  <c r="H41" i="1"/>
  <c r="H42"/>
  <c r="E53" i="3"/>
  <c r="D53"/>
  <c r="G100" i="1" l="1"/>
  <c r="G564"/>
  <c r="G78" i="2"/>
  <c r="G59" s="1"/>
  <c r="G689" i="1"/>
  <c r="G688" s="1"/>
  <c r="G687" s="1"/>
  <c r="G686" s="1"/>
  <c r="G52" i="2"/>
  <c r="G50" s="1"/>
  <c r="H438" i="1"/>
  <c r="H437" s="1"/>
  <c r="G247"/>
  <c r="G245"/>
  <c r="G215" s="1"/>
  <c r="F102" i="2"/>
  <c r="G602" i="1"/>
  <c r="G601" s="1"/>
  <c r="G708"/>
  <c r="G707" s="1"/>
  <c r="G706" s="1"/>
  <c r="G705" s="1"/>
  <c r="F52" i="2"/>
  <c r="F50" s="1"/>
  <c r="G438" i="1"/>
  <c r="G20"/>
  <c r="G19" s="1"/>
  <c r="G18" s="1"/>
  <c r="H20"/>
  <c r="H19" s="1"/>
  <c r="H61"/>
  <c r="H60" s="1"/>
  <c r="H53" s="1"/>
  <c r="E62" i="3"/>
  <c r="D62"/>
  <c r="E35"/>
  <c r="G660" i="1"/>
  <c r="D51" i="3" s="1"/>
  <c r="G151" i="2"/>
  <c r="G470" i="1"/>
  <c r="G41"/>
  <c r="G40"/>
  <c r="D25" i="3" s="1"/>
  <c r="D24" s="1"/>
  <c r="F21" i="2"/>
  <c r="H610" i="1"/>
  <c r="H602" s="1"/>
  <c r="H601" s="1"/>
  <c r="H674"/>
  <c r="G255" i="2"/>
  <c r="G251" s="1"/>
  <c r="F185"/>
  <c r="H420" i="1"/>
  <c r="H419" s="1"/>
  <c r="H418" s="1"/>
  <c r="G674"/>
  <c r="D58" i="3"/>
  <c r="D57" s="1"/>
  <c r="D26"/>
  <c r="H623" i="1"/>
  <c r="H622" s="1"/>
  <c r="H401"/>
  <c r="H400" s="1"/>
  <c r="H399" s="1"/>
  <c r="H398" s="1"/>
  <c r="G401"/>
  <c r="G400" s="1"/>
  <c r="G399" s="1"/>
  <c r="G398" s="1"/>
  <c r="G149"/>
  <c r="G148"/>
  <c r="G147" s="1"/>
  <c r="G127" s="1"/>
  <c r="H526"/>
  <c r="H369"/>
  <c r="D41" i="3"/>
  <c r="D40" s="1"/>
  <c r="E48"/>
  <c r="G526" i="1"/>
  <c r="G525" s="1"/>
  <c r="D46" i="3" s="1"/>
  <c r="D48"/>
  <c r="G367" i="1"/>
  <c r="G366" s="1"/>
  <c r="G623"/>
  <c r="G622" s="1"/>
  <c r="D50" i="3" s="1"/>
  <c r="H384" i="1"/>
  <c r="H383" s="1"/>
  <c r="G417"/>
  <c r="G416" s="1"/>
  <c r="G415" s="1"/>
  <c r="H100"/>
  <c r="D30" i="3"/>
  <c r="G469" i="1" l="1"/>
  <c r="D45" i="3" s="1"/>
  <c r="G563" i="1"/>
  <c r="G562" s="1"/>
  <c r="G437"/>
  <c r="D44" i="3" s="1"/>
  <c r="D54"/>
  <c r="D52" s="1"/>
  <c r="F49" i="2"/>
  <c r="F271" s="1"/>
  <c r="D47" i="3"/>
  <c r="G591" i="1"/>
  <c r="D18" i="3"/>
  <c r="G704" i="1"/>
  <c r="G703" s="1"/>
  <c r="H18"/>
  <c r="H17" s="1"/>
  <c r="E21" i="3"/>
  <c r="D49"/>
  <c r="G39" i="1"/>
  <c r="G17" s="1"/>
  <c r="G21" i="2"/>
  <c r="E47" i="3"/>
  <c r="D32"/>
  <c r="D28" s="1"/>
  <c r="H591" i="1"/>
  <c r="D35" i="3"/>
  <c r="G126" i="1"/>
  <c r="G685"/>
  <c r="D21" i="3"/>
  <c r="H382" i="1"/>
  <c r="H381" s="1"/>
  <c r="E54" i="3"/>
  <c r="E52" s="1"/>
  <c r="H621" i="1"/>
  <c r="E50" i="3"/>
  <c r="E49" s="1"/>
  <c r="D23"/>
  <c r="E44"/>
  <c r="E46"/>
  <c r="H525" i="1"/>
  <c r="H368"/>
  <c r="E27" i="3" s="1"/>
  <c r="E31"/>
  <c r="E32"/>
  <c r="G621" i="1"/>
  <c r="G436" l="1"/>
  <c r="G435" s="1"/>
  <c r="D43" i="3"/>
  <c r="H590" i="1"/>
  <c r="G590"/>
  <c r="D16" i="3"/>
  <c r="H367" i="1"/>
  <c r="H366" s="1"/>
  <c r="E26" i="3"/>
  <c r="G49" i="2"/>
  <c r="E45" i="3"/>
  <c r="E43" s="1"/>
  <c r="H469" i="1"/>
  <c r="H436" s="1"/>
  <c r="H435" s="1"/>
  <c r="H433"/>
  <c r="H432" s="1"/>
  <c r="H428" s="1"/>
  <c r="H427" s="1"/>
  <c r="H417" s="1"/>
  <c r="H416" s="1"/>
  <c r="H415" s="1"/>
  <c r="E28" i="3"/>
  <c r="D66" l="1"/>
  <c r="G725" i="1"/>
  <c r="G727" s="1"/>
  <c r="H725"/>
  <c r="H727" s="1"/>
  <c r="D68" i="3" l="1"/>
  <c r="F273" i="2"/>
  <c r="E23" i="3"/>
  <c r="E16" s="1"/>
  <c r="E66" s="1"/>
  <c r="G123" i="2"/>
  <c r="E68" i="3" l="1"/>
  <c r="G271" i="2"/>
  <c r="G273" l="1"/>
</calcChain>
</file>

<file path=xl/sharedStrings.xml><?xml version="1.0" encoding="utf-8"?>
<sst xmlns="http://schemas.openxmlformats.org/spreadsheetml/2006/main" count="3004" uniqueCount="614">
  <si>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</si>
  <si>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</si>
  <si>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</si>
  <si>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Раздел-подраздел</t>
  </si>
  <si>
    <t>Целевая статья</t>
  </si>
  <si>
    <t>Вид расходов</t>
  </si>
  <si>
    <t>1</t>
  </si>
  <si>
    <t>2</t>
  </si>
  <si>
    <t>3</t>
  </si>
  <si>
    <t>4</t>
  </si>
  <si>
    <t>5</t>
  </si>
  <si>
    <t xml:space="preserve">Ведомственная структура расходов районного бюджета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</si>
  <si>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</si>
  <si>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Муниципальная программа Мотыгинского района "Управление муниципальными финансами" </t>
  </si>
  <si>
    <t>Подпрограмма "Обеспечение реализации муниципальной программы и прочие мероприятия"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</si>
  <si>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</si>
  <si>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</si>
  <si>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</si>
  <si>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Межбюджетные трансферты</t>
  </si>
  <si>
    <t>Субвенции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</si>
  <si>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</si>
  <si>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</si>
  <si>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Мобилизационная и вневойсковая подготовка</t>
  </si>
  <si>
    <t>Непрограммные расходы отдельных органов исполнительной власти</t>
  </si>
  <si>
    <t>Общеэкономические вопросы</t>
  </si>
  <si>
    <t>Иные межбюджетные трансферты</t>
  </si>
  <si>
    <t>Дотации на выравнивание бюджетной обеспеченности субъектов Российской Федерации и муниципальных образований</t>
  </si>
  <si>
    <t>Подпрограмма " Создание условий для эффективного и ответственного управления муниципальными финансами, повышение устойчивости бюджетов муниципальных образований Мотыгинского района"</t>
  </si>
  <si>
    <t>Дотации</t>
  </si>
  <si>
    <t>Прочие межбюджетные трансферты общего характера</t>
  </si>
  <si>
    <t>Субвенция на выполнение государственных полномочий по созданию и обеспечению деятельности комиссий по делам несовершеннолетних и защите их прав</t>
  </si>
  <si>
    <t>Резервные фонды</t>
  </si>
  <si>
    <t>Иные бюджетные ассигнования</t>
  </si>
  <si>
    <t>Резервные средства</t>
  </si>
  <si>
    <t>Резервный фонд администрации</t>
  </si>
  <si>
    <t>Другие общегосударственные вопросы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</si>
  <si>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</si>
  <si>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( исполнительные листы)</t>
  </si>
  <si>
    <t>Исполнение судебных актов</t>
  </si>
  <si>
    <t>Отдельное мероприятие программы</t>
  </si>
  <si>
    <t>Транспорт</t>
  </si>
  <si>
    <t>Сельское хозяйство и рыболовство</t>
  </si>
  <si>
    <t>Субвенции бюджетам муниципальных районов на выполнение отдельных государственных полномочий по решению вопросов поддержки сельскохозяйственного производства</t>
  </si>
  <si>
    <t>Муниципальная программа "Развитие транспортной системы в Мотыгинском районе"</t>
  </si>
  <si>
    <t>Предоставление субсидии   на компенсацию расходов возникающих в результате небольшой интенсивности пассажирских потоков, юридическим лицам независимо от организационно-правовой формы, индивидуальным предпринимателям, осуществляющим регулярные пассажирские перевозки по муниципальным маршрутам  в рамках подпрограммы "Развитие воздушного и автомобильного пассажирского транспорта."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</si>
  <si>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</si>
  <si>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Дорожное хозяйство</t>
  </si>
  <si>
    <t>Другие вопросы в области национальной экономики</t>
  </si>
  <si>
    <t>Оказание финансовой поддержки субъектам малого и среднего предпринимательства</t>
  </si>
  <si>
    <t>Предоставление субсидий бюджетным, автономным учреждениям и иным некоммерческим организациям</t>
  </si>
  <si>
    <t xml:space="preserve">Субвенции бюджетам муниципальных образований на выполнение государственных полномочий по организации проведения мероприятий по отлову и содержанию безнадзорных животных </t>
  </si>
  <si>
    <t xml:space="preserve">Коммунальное хозяйство </t>
  </si>
  <si>
    <t>Муниципальная программа "Реформирование и модернизация жилищно-коммунального хозяйства и повышения энергетической эффективности"</t>
  </si>
  <si>
    <t>Другие вопросы в области образования</t>
  </si>
  <si>
    <t>Муниципальная  программа Мотыгинского района «Развитие общего и дополнительного образования в Мотыгинском районе »</t>
  </si>
  <si>
    <t>Подпрограмма «Обеспечение реализации муниципальной программы"</t>
  </si>
  <si>
    <t>0 340000000</t>
  </si>
  <si>
    <t>Муниципальная программа " Обеспечение доступным и комфортным жильем в Мотыгинском районе "</t>
  </si>
  <si>
    <t>Охрана семьи и детства</t>
  </si>
  <si>
    <t xml:space="preserve">Субвенции бюджетам муниципальных образований на обеспечение жилыми помещениями детей-сирот и детей, оставшихся без попечения
родителей, лиц из числа детей-сирот и детей, оставшихся без попечения родителей, за счет средств краевого бюджета </t>
  </si>
  <si>
    <t xml:space="preserve">Другие общегосударственные вопросы </t>
  </si>
  <si>
    <t>Подпрограмма "Развитие архивного дела в Мотыгинском районе"</t>
  </si>
  <si>
    <t>Обеспечение деятельности архивного фонда в Мотыгинском районе</t>
  </si>
  <si>
    <t>Расходы на выплаты персоналу казенных учреждений</t>
  </si>
  <si>
    <t>Субвенции бюджетам муниципальных образований на осуществление государственных полномочий в области архивного дела</t>
  </si>
  <si>
    <t>Общее образование</t>
  </si>
  <si>
    <t>Подпрограмма "Обеспечение условий реализации муниципальной программы и прочие мероприятия"</t>
  </si>
  <si>
    <t>Субсидии бюджетным учреждениям</t>
  </si>
  <si>
    <t>Культура</t>
  </si>
  <si>
    <t>Подпрограмма "Культурное наследие"</t>
  </si>
  <si>
    <t>Подпрограмма "Искусство и народное творчество"</t>
  </si>
  <si>
    <t>Молодежная политика и оздоровление детей</t>
  </si>
  <si>
    <t>Муниципальная программа "Молодежь Мотыгинского района в ХХ1 веке"</t>
  </si>
  <si>
    <t>Другие вопросы в области культуры, кинематографии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</si>
  <si>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</si>
  <si>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Руководство и управление в сфере установленных функций органов исполнительной власти </t>
  </si>
  <si>
    <t>Пенсионное обеспечение</t>
  </si>
  <si>
    <t>Социальное обеспечение и иные выплаты населению</t>
  </si>
  <si>
    <t>Социальное обеспечение населения</t>
  </si>
  <si>
    <t>Другие вопросы в области социальной политики</t>
  </si>
  <si>
    <t>Уплата налогов, сборов и иных платежей</t>
  </si>
  <si>
    <t>Социальные выплаты гражданам, кроме публичных нормативных социальных выплат</t>
  </si>
  <si>
    <t>Всего</t>
  </si>
  <si>
    <t>Раздел, подраздел</t>
  </si>
  <si>
    <t>Наименование показателя бюджетной классификации</t>
  </si>
  <si>
    <t>ОБЩЕГОСУДАРСТВЕННЫЕ ВОПРОСЫ</t>
  </si>
  <si>
    <t>0100</t>
  </si>
  <si>
    <t>Функционирование высшего должностного лица субъекта Российской 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</si>
  <si>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</si>
  <si>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</si>
  <si>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</si>
  <si>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0104</t>
  </si>
  <si>
    <t>0106</t>
  </si>
  <si>
    <t>0111</t>
  </si>
  <si>
    <t>0113</t>
  </si>
  <si>
    <t>НАЦИОНАЛЬНАЯ ОБОРОНА</t>
  </si>
  <si>
    <t>0200</t>
  </si>
  <si>
    <t>0203</t>
  </si>
  <si>
    <t>НАЦИОНАЛЬНАЯ БЕЗОПАСНОСТЬ И ПРАВООХРАНИТЕЛЬНАЯ ДЕЯТЕЛЬНОСТЬ</t>
  </si>
  <si>
    <t>0300</t>
  </si>
  <si>
    <t>НАЦИОНАЛЬНАЯ ЭКОНОМИКА</t>
  </si>
  <si>
    <t>0400</t>
  </si>
  <si>
    <t xml:space="preserve"> Общеэкономические вопросы</t>
  </si>
  <si>
    <t>0401</t>
  </si>
  <si>
    <t>0405</t>
  </si>
  <si>
    <t>0408</t>
  </si>
  <si>
    <t>Дорожное хозяйство (дорожные фонды)</t>
  </si>
  <si>
    <t>0409</t>
  </si>
  <si>
    <t>0412</t>
  </si>
  <si>
    <t>ЖИЛИЩНО-КОММУНАЛЬНОЕ ХОЗЯЙСТВО</t>
  </si>
  <si>
    <t>0500</t>
  </si>
  <si>
    <t>Коммунальное хозяйство</t>
  </si>
  <si>
    <t>0502</t>
  </si>
  <si>
    <t>ОБРАЗОВАНИЕ</t>
  </si>
  <si>
    <t>0700</t>
  </si>
  <si>
    <t>Дошкольное образование</t>
  </si>
  <si>
    <t>0701</t>
  </si>
  <si>
    <t>0702</t>
  </si>
  <si>
    <t>0707</t>
  </si>
  <si>
    <t>0709</t>
  </si>
  <si>
    <t>КУЛЬТУРА, КИНЕМАТОГРАФИЯ</t>
  </si>
  <si>
    <t>0800</t>
  </si>
  <si>
    <t>0801</t>
  </si>
  <si>
    <t>0804</t>
  </si>
  <si>
    <t>СОЦИАЛЬНАЯ ПОЛИТИКА</t>
  </si>
  <si>
    <t>1000</t>
  </si>
  <si>
    <t>1001</t>
  </si>
  <si>
    <t>1003</t>
  </si>
  <si>
    <t>1006</t>
  </si>
  <si>
    <t>1400</t>
  </si>
  <si>
    <t>1401</t>
  </si>
  <si>
    <t>1403</t>
  </si>
  <si>
    <t>Условно утвержденные расходы</t>
  </si>
  <si>
    <t>ВСЕГО</t>
  </si>
  <si>
    <t/>
  </si>
  <si>
    <t>Подпрограмма "Развитие дошкольного образования"</t>
  </si>
  <si>
    <t>Подпрограмма «Развитие  общего образования»</t>
  </si>
  <si>
    <t>Подпрограмма «Развитие дополнительного образования детей»</t>
  </si>
  <si>
    <t xml:space="preserve">Подпрограмма "Повышение устойчивости и перспективное развитие коммунальной инфраструктуры Мотыгинского района" </t>
  </si>
  <si>
    <t>Отдельные мероприятия программы</t>
  </si>
  <si>
    <t>Подпрограмма "Безопасность дорожного движения в Мотыгинском районе "</t>
  </si>
  <si>
    <t>Подпрограмма "Переселение граждан из аварийного жилищного фонда в Мотыгинском районе"</t>
  </si>
  <si>
    <t>Подпрограмма "Обеспечение жильем молодых семей в Мотыгинском районе"</t>
  </si>
  <si>
    <t>Подпрограмма "Территориальное планирование, градостроительное зонирование и документация по планировке территории Мотыгинского района"</t>
  </si>
  <si>
    <t>Подпрограмма "Обеспечение жилыми помещениями детей-сирот и детей, оставшихся без попечения родителей, лиц из числа детей сирот и детей оставшихся без попечения родителей "</t>
  </si>
  <si>
    <t xml:space="preserve">Отдельные мероприятия 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</si>
  <si>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</si>
  <si>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Обеспечение социальной выплаты участников подпрограммы</t>
  </si>
  <si>
    <t>Муниципальная программа Мотыгинского района "Защита населения и территорий Мотыгинского района от чрезвычайных ситуаций природного и техногенного характера"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</si>
  <si>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</t>
  </si>
  <si>
    <t>Итого</t>
  </si>
  <si>
    <t>Приложение № 5</t>
  </si>
  <si>
    <t>к решению Мотыгинского районного</t>
  </si>
  <si>
    <t>099</t>
  </si>
  <si>
    <t>Подпрограмма "Обеспечение жилыми помещениями детей-сирот и детей, оставшихся без попечения родителей, лиц из числа детей сирот и детей оставшихся без попечения родителей"</t>
  </si>
  <si>
    <t>Капитальные вложения в объекты недвижимого имущества государственной (муниципальной) собственности</t>
  </si>
  <si>
    <t>Бюджетные инвестиции</t>
  </si>
  <si>
    <t>Судебная система</t>
  </si>
  <si>
    <t>Дополнительное образование</t>
  </si>
  <si>
    <t>094</t>
  </si>
  <si>
    <t>0105</t>
  </si>
  <si>
    <t>Дополнительное образование детей</t>
  </si>
  <si>
    <t>Молодежная политика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</si>
  <si>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</si>
  <si>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</t>
  </si>
  <si>
    <t>951</t>
  </si>
  <si>
    <t>1004</t>
  </si>
  <si>
    <t>0703</t>
  </si>
  <si>
    <t>0500000000</t>
  </si>
  <si>
    <t>0520000000</t>
  </si>
  <si>
    <t>0520000210</t>
  </si>
  <si>
    <t>0700000000</t>
  </si>
  <si>
    <t>0710000000</t>
  </si>
  <si>
    <t>0730000000</t>
  </si>
  <si>
    <t>0510000000</t>
  </si>
  <si>
    <t>0510076010</t>
  </si>
  <si>
    <t>0510050010</t>
  </si>
  <si>
    <t>0510050030</t>
  </si>
  <si>
    <t>0600000000</t>
  </si>
  <si>
    <t>0610000000</t>
  </si>
  <si>
    <t>0900000000</t>
  </si>
  <si>
    <t>0790000000</t>
  </si>
  <si>
    <t>0790075770</t>
  </si>
  <si>
    <t>0790075700</t>
  </si>
  <si>
    <t>0300000000</t>
  </si>
  <si>
    <t>0340000000</t>
  </si>
  <si>
    <t>0340075520</t>
  </si>
  <si>
    <t>0800000000</t>
  </si>
  <si>
    <t>0810000000</t>
  </si>
  <si>
    <t>0200000000</t>
  </si>
  <si>
    <t>0220000000</t>
  </si>
  <si>
    <t>0220000610</t>
  </si>
  <si>
    <t>0220075190</t>
  </si>
  <si>
    <t>0620000000</t>
  </si>
  <si>
    <t>0310000000</t>
  </si>
  <si>
    <t>0310000610</t>
  </si>
  <si>
    <t>0310074080</t>
  </si>
  <si>
    <t>0310075880</t>
  </si>
  <si>
    <t>0310075540</t>
  </si>
  <si>
    <t>0320000000</t>
  </si>
  <si>
    <t>0320000610</t>
  </si>
  <si>
    <t>0320074090</t>
  </si>
  <si>
    <t>0320075640</t>
  </si>
  <si>
    <t>0330000000</t>
  </si>
  <si>
    <t>0330000660</t>
  </si>
  <si>
    <t>0340000610</t>
  </si>
  <si>
    <t>0340075560</t>
  </si>
  <si>
    <t>0320075660</t>
  </si>
  <si>
    <t>0240000000</t>
  </si>
  <si>
    <t>0240000610</t>
  </si>
  <si>
    <t>0400000000</t>
  </si>
  <si>
    <t>0420000000</t>
  </si>
  <si>
    <t>0210000000</t>
  </si>
  <si>
    <t>0210000610</t>
  </si>
  <si>
    <t>0210000630</t>
  </si>
  <si>
    <t>0230000000</t>
  </si>
  <si>
    <t>0230000650</t>
  </si>
  <si>
    <t>0230000660</t>
  </si>
  <si>
    <t xml:space="preserve">МУНИЦИПАЛЬНАЯ ПРОГРАММА МОТЫГИНСКОГО РАЙОНА "РАЗВИТИЕ КУЛЬТУРЫ И ТУРИЗМА" </t>
  </si>
  <si>
    <t>МУНИЦИПАЛЬНАЯ ПРОГРАММА МОТЫГИНСКОГО РАЙОНА «РАЗВИТИЕ ОБЩЕГО И ДОПОЛНИТЕЛЬНОГО ОБРАЗОВАНИЯ В МОТЫГИНСКОМ РАЙОНЕ »</t>
  </si>
  <si>
    <t>МУНИЦИПАЛЬНАЯ ПРОГРАММА "МОЛОДЕЖЬ МОТЫГИНСКОГО РАЙОНА В ХХ1 ВЕКЕ"</t>
  </si>
  <si>
    <t xml:space="preserve">МУНИЦИПАЛЬНАЯ ПРОГРАММА МОТЫГИНСКОГО РАЙОНА "УПРАВЛЕНИЕ МУНИЦИПАЛЬНЫМИ ФИНАНСАМИ" </t>
  </si>
  <si>
    <t>МУНИЦИПАЛЬНАЯ ПРОГРАММА "СОДЕЙСТВИЕ РАЗВИТИЮ МЕСТНОГО САМОУПРАВЛЕНИЯ"</t>
  </si>
  <si>
    <t>МУНИЦИПАЛЬНАЯ ПРОГРАММА "РЕФОРМИРОВАНИЕ И МОДЕРНИЗАЦИЯ ЖИЛИЩНО-КОММУНАЛЬНОГО ХОЗЯЙСТВА И ПОВЫШЕНИЯ ЭНЕРГЕТИЧЕСКОЙ ЭФФЕКТИВНОСТИ"</t>
  </si>
  <si>
    <t>МУНИЦИПАЛЬНАЯ ПРОГРАММА "ЗАЩИТА НАСЕЛЕНИЯ И ТЕРРИТОРИЙ МОТЫГИНСКОГО РАЙОНА ОТ ЧРЕЗВЫЧАЙНЫХ СИТУАЦИЙ ПРИРОДНОГО И ТЕХНОГЕННОГО ХАРАКТЕРА."</t>
  </si>
  <si>
    <t>МУНИЦИПАЛЬНАЯ ПРОГРАММА "РАЗВИТИЕ ТРАНСПОРТНОЙ СИСТЕМЫ В МОТЫГИНСКОМ РАЙОНЕ".</t>
  </si>
  <si>
    <t>МУНИЦИПАЛЬНАЯ ПРОГРАММА "ОБЕСПЕЧЕНИЕ ДОСТУПНЫМ И КОМФОРТНЫМ ЖИЛЬЕМ ЖИТЕЛЕЙ МОТЫГИНСКОГО РАЙОНА"</t>
  </si>
  <si>
    <t>НЕПРОГРАММНЫЕ РАСХОДЫ ОРГАНОВ ИСПОЛНИТЕЛЬНОЙ ВЛАСТИ</t>
  </si>
  <si>
    <t>ФИНАНСОВО-ЭКОНОМИЧЕСКОЕ УПРАВЛЕНИЕ АДМИНИСТРАЦИИ МОТЫГИНСКОГО РАЙОНА</t>
  </si>
  <si>
    <t xml:space="preserve">МЕЖБЮДЖЕТНЫЕ ТРАНСФЕРТЫ ОБЩЕГО ХАРАКТЕРА БЮДЖЕТАМ БЮДЖЕТНОЙ СИСТЕМЫ РОССИЙСКОЙ ФЕДЕРАЦИИ </t>
  </si>
  <si>
    <t>ПРОЧИЕ МЕЖБЮДЖЕТНЫЕ ТРАНСФЕРТЫ ОБЩЕГО ХАРАКТЕРА</t>
  </si>
  <si>
    <t>АДМИНИСТРАЦИЯ МОТЫГИНСКОГО РАЙОНА</t>
  </si>
  <si>
    <t>МУНИЦИПАЛЬНОЕ КАЗЁННОЕ УЧРЕЖДЕНИЕ "ЕДИНАЯ ДЕЖУРНО-ДИСПЕТЧЕРСКАЯ СЛУЖБА" МОТЫГИНСКОГО РАЙОНА</t>
  </si>
  <si>
    <t>МУНИЦИПАЛЬНОЕ КАЗЕННОЕ УЧРЕЖДЕНИЕ "МОТЫГИНСКИЙ РАЙОННЫЙ АРХИВ"</t>
  </si>
  <si>
    <t>МУНИЦИПАЛЬНОЕ КАЗЕННОЕ УЧРЕЖДЕНИЕ "ЦЕНТРАЛИЗОВАННАЯ БУХГАЛТЕРИЯ МУНИЦИПАЛЬНОГО ОБРАЗОВАНИЯ МОТЫГИНСКИЙ РАЙОН"</t>
  </si>
  <si>
    <t>МУНИЦИПАЛЬНОЕ КАЗЁННОЕ УЧРЕЖДЕНИЕ "УПРАВЛЕНИЕ ОБРАЗОВАНИЯ МОТЫГИНСКОГО РАЙОНА"</t>
  </si>
  <si>
    <t>МУНИЦИПАЛЬНОЕ КАЗЕННОЕ УЧРЕЖДЕНИЕ УПРАВЛЕНИЕ КУЛЬТУРЫ МОТЫГИНСКОГО РАЙОНА</t>
  </si>
  <si>
    <t>КОНТРОЛЬНО-СЧЕТНЫЙ ОРГАН МОТЫГИНСКОГО РАЙОНА</t>
  </si>
  <si>
    <t>МОТЫГИНСКИЙ РАЙОННЫЙ СОВЕТ ДЕПУТАТОВ</t>
  </si>
  <si>
    <t>Подпрограмма "Развитие внутреннего и въездного туризма"</t>
  </si>
  <si>
    <t>0250000000</t>
  </si>
  <si>
    <t>0410000000</t>
  </si>
  <si>
    <t>0430000000</t>
  </si>
  <si>
    <t>0720000000</t>
  </si>
  <si>
    <t>Реализация мероприятий на проведение и организацию акарицидных обработок мест массового отдыха населения</t>
  </si>
  <si>
    <t>0320076490</t>
  </si>
  <si>
    <t>Совета депутатов</t>
  </si>
  <si>
    <t>МУНИЦИПАЛЬНАЯ ПРОГРАММА "РАЗВИТИЕ ФИЗИЧЕСКОЙ КУЛЬТУРЫ И СПОРТА НА ТЕРРИТОРИИ МОТЫГИНСКОГО РАЙОНА"</t>
  </si>
  <si>
    <t>Физическая культура и спорт</t>
  </si>
  <si>
    <t>Физическая культура</t>
  </si>
  <si>
    <t>1100</t>
  </si>
  <si>
    <t>Муниципальная программа "Развитие физической культуры и спорта на территории Мотыгинского района"</t>
  </si>
  <si>
    <t>1101</t>
  </si>
  <si>
    <t>ФИЗИЧЕСКАЯ КУЛЬТУРА И СПОРТ</t>
  </si>
  <si>
    <t>Подпрограмма "Содержание автомобильных дорог общего пользования местного значения"</t>
  </si>
  <si>
    <t>Непрограммные расходы администрации Мотыгинского района</t>
  </si>
  <si>
    <t>Функционирование администрации Мотыгинского района</t>
  </si>
  <si>
    <t>Глава муниципального образования в рамках непрограммных расходов администрации Мотыгинского района</t>
  </si>
  <si>
    <t>8500000000</t>
  </si>
  <si>
    <t>8510000000</t>
  </si>
  <si>
    <t>8510000220</t>
  </si>
  <si>
    <t>Функционирование финансово-экономического управления администрации Мотыгинского района</t>
  </si>
  <si>
    <t>0690084020</t>
  </si>
  <si>
    <t>85100S5550</t>
  </si>
  <si>
    <t>Муниципальная программа " Обеспечение доступным и комфортным жильем жителей в Мотыгинского района"</t>
  </si>
  <si>
    <t>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</t>
  </si>
  <si>
    <t>Подпрограмма "Обеспечение реализации муниципальной программы"</t>
  </si>
  <si>
    <t>Субсидии юридическим лицам (за исключением государственных и  муниципальных учреждений) и  индивидуальным предпринимателям в целях возмещения недополученных доходов и (или) финансового обеспечения (возмещения) затрат, возникающих в связи с регулированием тарифов на перевозки пассажиров внутренним водным транспортом в местном сообщении</t>
  </si>
  <si>
    <t>Связь и информатика</t>
  </si>
  <si>
    <t>0410</t>
  </si>
  <si>
    <t>Реализация отдельных мер по обеспечению ограничения платы граждан за коммунальные услуги</t>
  </si>
  <si>
    <t>11200L4970</t>
  </si>
  <si>
    <t>9100000000</t>
  </si>
  <si>
    <t>9170000000</t>
  </si>
  <si>
    <t>Функционирование централизованной бухгалтерии муниципального образования Мотыгинский район</t>
  </si>
  <si>
    <t>Непрограммные расходы казенных учреждений</t>
  </si>
  <si>
    <t>9170000610</t>
  </si>
  <si>
    <t>Непрограммные расходы Контрольно-счетного органа Мотыгинского района</t>
  </si>
  <si>
    <t>Функционирование Контрольно-счетного органа Мотыгинского района</t>
  </si>
  <si>
    <t>Функционирование Мотыгинского районного Совета депутатов</t>
  </si>
  <si>
    <t>Муниципальная программа  "Содействие развитию местного самоуправления"</t>
  </si>
  <si>
    <t>МУНИЦИПАЛЬНОЕ КАЗЕННОЕ УЧРЕЖДЕНИЕ "СЛУЖБА ЗЕМЕЛЬНО-ИМУЩЕСТВЕННЫХ ОТНОШЕНИЙ  МОТЫГИНСКОГО РАЙОНА"</t>
  </si>
  <si>
    <t>Функционирование службы земельно-имущественных отношений Мотыгинского района</t>
  </si>
  <si>
    <t>0610000850</t>
  </si>
  <si>
    <t>0610017110</t>
  </si>
  <si>
    <t>Муниципальная программа "Содействие развитию местного самоуправления""</t>
  </si>
  <si>
    <t>Организация общественных работ на территории Мотыгинского района, обеспечивающих временную занятость и материальную поддержку безработных граждан</t>
  </si>
  <si>
    <t>Предоставление выпадающих доходов , возникающих в результате поставки населению по регулируемым ценам (тарифам) электрической энергии, вырабатываемой дизельными электростанциями</t>
  </si>
  <si>
    <t>0810000610</t>
  </si>
  <si>
    <t>Финансирование расходов на содержание единых дежурно-диспетчерских служб</t>
  </si>
  <si>
    <t>08100S4130</t>
  </si>
  <si>
    <t>Подпрограмма "Благоустройство территорий поселений"</t>
  </si>
  <si>
    <t>0240000660</t>
  </si>
  <si>
    <t>0690000000</t>
  </si>
  <si>
    <t>Подпрограмма "Осуществление деятельности по обеспечению безопасности в чрезвычайных ситуациях"</t>
  </si>
  <si>
    <t>08200000000</t>
  </si>
  <si>
    <t>Подпрограмма "Капитальный ремонт и ремонт автомобильных дорог общего пользования местного значения"</t>
  </si>
  <si>
    <t>НЕПРОГРАММГЫЕ РАСХОДЫ АДМИНИСТРАЦИИ МОТЫГИНСКОГО РАЙОНА</t>
  </si>
  <si>
    <t>НЕПРОГРАММНЫЕ РАХОДЫ КАЗЕННЫХ УЧРЕЖДЕНИЙ</t>
  </si>
  <si>
    <t>Обеспечение деятельности подведомственных учреждений в рамках непрограммных расходов</t>
  </si>
  <si>
    <t>НЕПРОГРАММНЫЕ РАСХОДЫ КОНТРОЛЬНО-СЧЕТНОГО ОРГАНА МОТЫГИНСКОГО РАЙОНА</t>
  </si>
  <si>
    <t>Подпрограмма «Вовлечение молодежи Мотыгинского района в социальную практику "</t>
  </si>
  <si>
    <t>0410000610</t>
  </si>
  <si>
    <t>04100S4560</t>
  </si>
  <si>
    <t>952</t>
  </si>
  <si>
    <t>0420086030</t>
  </si>
  <si>
    <t>0430086060</t>
  </si>
  <si>
    <t>Подпрограмма "Патриотическое воспитание молодежи Мотыгинского района"</t>
  </si>
  <si>
    <t>Муниципальная программа "Содействие развитию местного самоуправления"</t>
  </si>
  <si>
    <t>Подпрограмма "Обеспечение реализации общественных и гражданских инициатив и поддержка социально ориентированных некоммерческих организаций"</t>
  </si>
  <si>
    <t>Подпрограмма " Чистая вода Мотыгинского района"</t>
  </si>
  <si>
    <t>Подпрограмма " Энергосбережение и повышение энергетической эффективности Мотыгинского района"</t>
  </si>
  <si>
    <t>Подпрограмма "Развитие воздушного, водного и автомобильного пассажирского транспорта."</t>
  </si>
  <si>
    <t>Подпрограмма "Содержание автомобильных дорог общего пользования местного значения "</t>
  </si>
  <si>
    <t>Подпрограмма "Развитие массовой физической культуры и спорта на территории Мотыгинского района"</t>
  </si>
  <si>
    <t>Подпрограмма "Внедрение Всероссийского физкультурно-спортивного комплекса "Готов к труду и обороне" (ГТО) в Мотыгинском районе"</t>
  </si>
  <si>
    <t xml:space="preserve">Муниципальная программа  "Развитие культуры и туризма" </t>
  </si>
  <si>
    <t xml:space="preserve">Муниципальная программа "Развитие культуры и туризма" </t>
  </si>
  <si>
    <t>Подпрограмма "Обеспечение реализации общественных и гражданских инициатив и поддержка социально-ориентированных некоммерческих организаций "</t>
  </si>
  <si>
    <t>Муниципальная программа Мотыгинского района "Управление муниципальными финансами"</t>
  </si>
  <si>
    <t>Непрограммные расходы представительного органа власти</t>
  </si>
  <si>
    <t xml:space="preserve">Депутаты представительного органа </t>
  </si>
  <si>
    <t>957</t>
  </si>
  <si>
    <t>Руководство и управление в сфере установленных функций органов муниципальной  власти (за исключением фонда оплаты труда обслуживающего персонала) в рамках непрограммных расходов представительного органа власти</t>
  </si>
  <si>
    <t>Руководство и управление в сфере установленных функций органов муниципальной  власти ( фонд оплаты труда обслуживающего персонала) в рамках непрограммных расходов представительного органа власти</t>
  </si>
  <si>
    <t>Осуществление части полномочий по исполнению бюджета поселения, ведения бухгалтерского учета и формирования бюджетной отчетности</t>
  </si>
  <si>
    <t>9170084560</t>
  </si>
  <si>
    <t xml:space="preserve">Субвенции бюджетам муниципальных образований на осуществление государственных полномочий в области архивного дела в рамках подпрограммы  "Развитие архивного дела в Мотыгинском районе" муниципальной программы Мотыгинского района "Развитие культуры и туризма" </t>
  </si>
  <si>
    <t>Муниципальная программа "Развитие культуры и туризма"</t>
  </si>
  <si>
    <t xml:space="preserve">Обеспечение деятельности в области архивного дела в рамках подпрограммы  "Развитие архивного дела в Мотыгинском районе" муниципальной программы Мотыгинского района "Развитие культуры и туризма" </t>
  </si>
  <si>
    <t xml:space="preserve">Обеспечение деятельности подведомственных учреждений в рамках подпрограммы "Осуществление деятельности по обеспечению безопасности в чрезвычайных ситуациях" муниципальной программы Мотыгинского района "Защита населения и территорий Мотыгинского района от чрезвычайных ситуаций природного и техногенного характера" </t>
  </si>
  <si>
    <t>НЕПРОГРАММНЫЕ РАСХОДЫ ПРЕДСТАВИТЕЛЬНЫХ ОРГАНОВ ВЛАСТИ</t>
  </si>
  <si>
    <t xml:space="preserve">Обеспечение деятельности (оказание услуг) подведомственных учреждений в рамках подпрограммы "Развитие дошкольного образования" муниципальной программы «Развитие общего и дополнительного образования в Мотыгинском районе »  </t>
  </si>
  <si>
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"Развитие дошкольного образования" муниципальной программы «Развитие общего и дополнительного образования в Мотыгинском районе »  </t>
  </si>
  <si>
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"Развитие дошкольного образования" муниципальной программы «Развитие общего и дополнительного образования в Мотыгинском районе »  </t>
  </si>
  <si>
    <t xml:space="preserve">Субвенции бюджетам муниципальных образований  на реализацию 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 образования" муниципальной программы «Развитие общего и дополнительного образования в Мотыгинском районе »  </t>
  </si>
  <si>
    <t>Обеспечение деятельности (оказание услуг) подведомственных учреждений в рамках подпрограммы "Развитие общего образования" муниципальной программы «Развитие общего и дополнительного образования в Мотыгинском районе »</t>
  </si>
  <si>
    <t xml:space="preserve">Субвенции бюджетам муниципальных образований  на осуществление государственных полномочий по обеспечению отдыха и оздоровления детей в рамках подпрограммы "Развитие общего образования" муниципальной программы «Развитие общего и дополнительного образования в Мотыгинском районе » 
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</si>
  <si>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"Развитие общего образования" муниципальной программы «Развитие общего и дополнительного образования в Мотыгинском районе »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</si>
  <si>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"Развитие общего образования" муниципальной программы «Развитие общего и дополнительного образования в Мотыгинском районе »</t>
  </si>
  <si>
    <t>Руководство и управление в сфере делегированных полномочий в рамках подпрограммы "Обеспечение реализации муниципальной программы" муниципальной программы «Развитие общего и дополнительного образования в Мотыгинском районе 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</si>
  <si>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образования» в рамках подпрограммы "Обеспечение реализации муниципальной программы" муниципальной программы «Развитие общего и дополнительного образования в Мотыгинском районе »</t>
  </si>
  <si>
    <t>Субвенции бюджетам муниципальных образований края на реализацию государственных полномочий по обеспечению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рамках подпрограммы "Развитие общего образования" муниципальной программы «Развитие общего и дополнительного образования в Мотыгинском районе »</t>
  </si>
  <si>
    <t>Обеспечение деятельности (оказание услуг) подведомственных учреждений в рамках подпрограммы "Развитие дополнительного образования детей" муниципальной программы «Развитие дополнительного образования в Мотыгинском районе »</t>
  </si>
  <si>
    <t>Обеспечение деятельности (оказание услуг) подведомственных учреждений в рамках подпрограммы "Обеспечение условий реализации муниципальной программы и прочие мероприятия" муниципальной программы "Развитие культуры и туризма"</t>
  </si>
  <si>
    <t>Обеспечение деятельности, содержание МБУ "Молодежный центр Мотыгинского района  в рамках подпрограммы «Вовлечение молодежи Мотыгинского района в социальную практику "муниципальной программа "Молодежь Мотыгинского района в ХХ1 веке"</t>
  </si>
  <si>
    <t>Создание условий для развития и совершенствования системы патриотического воспитания молодежи Мотыгинского района в рамках подпрограммы "Патриотическое воспитание молодежи Мотыгинского района" муниципальной программа "Молодежь Мотыгинского района в ХХ1 веке"</t>
  </si>
  <si>
    <t>Содействие формированию пространства, способствующего развитию гражданских инициатив и поддержка социально-ориентированных некоммерческих организаций на территории Мотыгинского района  в рамках подпрограммы "Обеспечение реализации общественных и гражданских инициатив и поддержка социально-ориентированных некоммерческих организаций " муниципальной программа "Молодежь Мотыгинского района в ХХ1 веке"</t>
  </si>
  <si>
    <t xml:space="preserve">Обеспечение деятельности (оказание услуг) подведомственных учреждений  (развитие библиотечного дела) в рамках подпрограммы "Культурное наследие" муниципальной программы  "Развитие культуры и туризма" </t>
  </si>
  <si>
    <t xml:space="preserve">Обеспечение деятельности (оказание услуг) подведомственных учреждений (музей) в рамках подпрограммы "Культурное наследие"  муниципальной программы  "Развитие культуры и туризма" </t>
  </si>
  <si>
    <t xml:space="preserve">Обеспечение деятельности (оказание услуг) подведомственных учреждений (СКЦ) в рамках подпрограммы "Искусство и народное творчество" муниципальной программы  "Развитие культуры и туризма" </t>
  </si>
  <si>
    <t xml:space="preserve">Обеспечение деятельности (оказание услуг) подведомственных учреждений (СДК) в рамках подпрограммы "Искусство и народное творчество" муниципальной программы  "Развитие культуры и туризма" </t>
  </si>
  <si>
    <t xml:space="preserve">Комплектование книжных фондов библиотек  муниципального образования Мотыгинский район в рамках подпрограммы "Обеспечение условий реализации муниципальной программы и прочие мероприятия" муниципальной программы  "Развитие культуры и туризма" </t>
  </si>
  <si>
    <t>0110000000</t>
  </si>
  <si>
    <t>0110080070</t>
  </si>
  <si>
    <t>0120000000</t>
  </si>
  <si>
    <t>0120080080</t>
  </si>
  <si>
    <t>Реализация комплекса мер, направленных на стимулирование и вовлечение населения в занятия физической культурой и спортом в рамках подпрограммы "Развитие массовой физической культуры и спорта на территории Мотыгинского района" муниципальной программы "Развитие физической культуры и спорта на территории Мотыгинского района"</t>
  </si>
  <si>
    <t>Создание условий для развития и популяризации комплекса ГТО на территории Мотыгинского района в рамках подпрограммы "Внедрение Всероссийского физкультурно-спортивного комплекса "Готов к труду и обороне" (ГТО) в Мотыгинском районе" муниципальной программы "Развитие физической культуры и спорта на территории Мотыгинского района"</t>
  </si>
  <si>
    <t>0100000000</t>
  </si>
  <si>
    <t>Поддержка деятельности муниципальных молодежных центров в рамках подпрограммы «Вовлечение молодежи Мотыгинского района в социальную практику "муниципальной программа "Молодежь Мотыгинского района в ХХ1 веке"</t>
  </si>
  <si>
    <t xml:space="preserve">Руководство и управление в сфере установленных функций органов местного самоуправления в рамках подпрограммы "Обеспечение условий реализации муниципальной программы и прочие мероприятия" муниципальной программы  "Развитие культуры и туризма" </t>
  </si>
  <si>
    <t>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"Развитие общего образования" муниципальной программы «Развитие общего и дополнительного образования в Мотыгинском районе »</t>
  </si>
  <si>
    <t>03200S5630</t>
  </si>
  <si>
    <t>Оценка недвижимости , признание прав и регулирование отношений по государственной и муниципальной собственности в рамках подпрограммы "Эффективное управление муниципальной собственностью" муниципальной программы "Содействие развитию местного самоуправления"</t>
  </si>
  <si>
    <t>Мероприятия по землеустройству и землепользованию   в рамках подпрограммы "Эффективное управление муниципальной собственностью" муниципальной программы "Содействие развитию местного самоуправления"</t>
  </si>
  <si>
    <t>Руководство и управление в сфере установленных функций органов муниципальной  власти (за исключением фонда оплаты труда обслуживающего персонала) в рамках подпрограммы «Обеспечение реализации муниципальной программы и прочие мероприятия» муниципальной  программы Мотыгинского района «Управление муниципальными финансами»</t>
  </si>
  <si>
    <t>Руководство и управление в сфере установленных функций органов муниципальной  власти ( фонд оплаты труда обслуживающего персонала) в рамках подпрограммы «Обеспечение реализации муниципальной программы и прочие мероприятия» муниципальной  программы Мотыгинского района «Управление муниципальными финансами»</t>
  </si>
  <si>
    <t>0520000220</t>
  </si>
  <si>
    <t>Осуществление первичного воинского учета на территориях, где отсутствуют военные комиссариаты в рамках непрограммных расходов отдельных органов исполнительной власти</t>
  </si>
  <si>
    <t>Предоставление дотаций на выравнивание бюджетной обеспеченности муниципальных образований Мотыгинского района счет средств районного  бюджета в рамках подпрограммы  " Создание условий для эффективного и ответственного управления муниципальными финансами, повышение устойчивости бюджетов муниципальных образований Мотыгинского района" муниципальной программы "Управление муниципальными финансами"</t>
  </si>
  <si>
    <t>Жилищное хозяйство</t>
  </si>
  <si>
    <t>0501</t>
  </si>
  <si>
    <t>Руководство и управление в сфере установленных функций органов муниципальной  власти (за исключением фонда оплаты труда обслуживающего персонала)  в рамках непрограммных расходов администрации Мотыгинского района</t>
  </si>
  <si>
    <t>8510000250</t>
  </si>
  <si>
    <t>Руководство и управление в сфере установленных функций органов муниципальной  власти ( фонд оплаты труда обслуживающего персонала) в рамках непрограммных расходов администрации Мотыгинского района</t>
  </si>
  <si>
    <t>Муниципальная программа "Развитие малого, среднего предпринимательства и  сельского хозяйства в Мотыгинском районе"</t>
  </si>
  <si>
    <t>0920000000</t>
  </si>
  <si>
    <t xml:space="preserve"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 </t>
  </si>
  <si>
    <t>0310</t>
  </si>
  <si>
    <t>МУНИЦИПАЛЬНАЯ ПРОГРАММА "РАЗВИТИЕ МАЛОГО,СРЕДНЕГО ПРЕДПРИНИМАТЕЛЬСТВА И СЕЛЬСКОГО ХОЗЯЙСТВА В МОТЫГИНСКОМ РАЙОНЕ"</t>
  </si>
  <si>
    <t>0910000000</t>
  </si>
  <si>
    <t>Подпрограмма "Эффективное управление муниципальной собственностью и земельными ресурсами на территории Мотыгинского района"</t>
  </si>
  <si>
    <t>0630000000</t>
  </si>
  <si>
    <t>09100S6070</t>
  </si>
  <si>
    <t>Субвенции бюджетам муниципальных образований на осуществление деятельности по опеке и попечительству в отношении совершеннолетних граждан, а также в сфере патронажа</t>
  </si>
  <si>
    <t>Оплата взносов за капитальный ремонт региональному фонду</t>
  </si>
  <si>
    <t>Подпрограмма "Обеспечение реализации и прочие мероприятия"</t>
  </si>
  <si>
    <t>Исполнение полномочий района по предоставлению выплаты пенсии за выслугу лет  лицам, замещавшим муниципальные должности муниципальной службы в рамках подпрограммы "Обеспечение реализации и прочие мероприятия" муниципальной программы  "Содействие развитию местного самоуправления"</t>
  </si>
  <si>
    <t>0630001110</t>
  </si>
  <si>
    <t>Публичные нормативные социальные выплаты гражданам</t>
  </si>
  <si>
    <t>0630080010</t>
  </si>
  <si>
    <t>Предоставление адресной материальной помощи ко Дню Победы  в рамках подпрограммы "Обеспечение реализации и прочие мероприятия" муниципальной программы  "Содействие развитию местного самоуправления"</t>
  </si>
  <si>
    <t>0630080020</t>
  </si>
  <si>
    <t xml:space="preserve">Комплектование книжных фондов библиотек Мотыгинского района   в рамках подпрограммы "Обеспечение условий реализации муниципальной программы и прочие мероприятия" муниципальной программы  "Развитие культуры и туризма" </t>
  </si>
  <si>
    <t>Предоставление единовременной адресной материальной помощи гражданам, находящимся в трудной жизненной ситуации в рамках подпрограммы "Обеспечение реализации и прочие мероприятия" муниципальной программы  "Содействие развитию местного самоуправления"</t>
  </si>
  <si>
    <t>Председатель представительного органа муниципальной власти муниципального района в рамках непрограммных расходов представительного органа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</si>
  <si>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исполнительной власти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</si>
  <si>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администрации Мотыгинского района</t>
  </si>
  <si>
    <t>Предоставление дотаций на выравнивание бюджетной обеспеченности муниципальных образований Мотыгинского района  за счет средств субвенции из краевого бюджета на осуществление отдельных государственных полномочий по расчету и предоставлению дотаций поселениям  в рамках подпрограммы  " Создание условий для эффективного и ответственного управления муниципальными финансами, повышение устойчивости бюджетов муниципальных образований Мотыгинского района" муниципальной программы "Управление муниципальными финансами"</t>
  </si>
  <si>
    <t>Иной межбюджетный трансферт для регулирования сбалансированности бюджетов поселений при осуществлении полномочий по решению вопросов местного значения в рамках подпрограммы  " Создание условий для эффективного и ответственного управления муниципальными финансами, повышение устойчивости бюджетов муниципальных образований Мотыгинского района" муниципальной программы "Управление муниципальными финансами"</t>
  </si>
  <si>
    <t>Подпрограмма "Профилактика правонарушений и укрепление общественного порядка и общественной безопасности"</t>
  </si>
  <si>
    <t>Другие вопросы в области жилищно-коммунального хозяйства</t>
  </si>
  <si>
    <t>0505</t>
  </si>
  <si>
    <t>Осуществление части полномочий по градостроительной деятельности</t>
  </si>
  <si>
    <t>02400S4880</t>
  </si>
  <si>
    <t>Обслуживание государственного внутреннего и муниципального долга</t>
  </si>
  <si>
    <t>1301</t>
  </si>
  <si>
    <t>Расходы на обслуживание муниципального долга</t>
  </si>
  <si>
    <t>Обслуживание государственного (муниципального) долга</t>
  </si>
  <si>
    <t>Обслуживание муниципального долга</t>
  </si>
  <si>
    <t>ОБСЛУЖИВАНИЕ ГОСУДАРСТВЕННОГО И МУНИЦИПАЛЬЕНОГО ДОЛГА</t>
  </si>
  <si>
    <t>Обслуживание государственного и внутреннего долга</t>
  </si>
  <si>
    <t>Охрана окружающей среды</t>
  </si>
  <si>
    <t>0600</t>
  </si>
  <si>
    <t>0603</t>
  </si>
  <si>
    <t>ОХРАНА ОКРУЖАЮЩЕЙ СРЕДЫ</t>
  </si>
  <si>
    <t>Охрана объектов растительного и животного мира среды их обитания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</si>
  <si>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 в рамках подпрограммы ""Развитие общего образования"" муниципальной программы «Развитие общего и дополнительного образования в Мотыгинском районе »</t>
  </si>
  <si>
    <t>03200L3040</t>
  </si>
  <si>
    <t>Другие вопросы в области охраны окружающей среды</t>
  </si>
  <si>
    <t>0605</t>
  </si>
  <si>
    <t>Содержание объектов жилищного фонда в рамках подпрограммы Обеспечение работников органов местного самоуправления, муниципальных предприятий и учреждений Мотыгинского района служебным жильем за счет средств бюджета муниципального образования" муниципальной программы  "Обеспечение доступным и комфортным жильем жителей Мотыгинского района"</t>
  </si>
  <si>
    <t>Содержание объектов недвижимого имущества, за исключением объектов жилищного фонда в рамках непрограммных расходов администрации Мотыгинского района</t>
  </si>
  <si>
    <t>от ________ № _______</t>
  </si>
  <si>
    <t>04200S4540</t>
  </si>
  <si>
    <t>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 Мотыгинского района" муниципальной программа "Молодежь Мотыгинского района в ХХ1 веке"</t>
  </si>
  <si>
    <t>'Развитие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 Мотыгинского района" муниципальной программа "Молодежь Мотыгинского района в ХХ1 веке"</t>
  </si>
  <si>
    <t>0330000670</t>
  </si>
  <si>
    <t>Субсидии автономным учреждениям</t>
  </si>
  <si>
    <t>'Иные бюджетные ассигнования</t>
  </si>
  <si>
    <t>'Субсидии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</si>
  <si>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Проведение мероприятий по трудовому воспитанию несовершеннолетних</t>
  </si>
  <si>
    <t>0410086040</t>
  </si>
  <si>
    <t>'Защита населения и территории от чрезвычайных ситуаций природного и техногенного характера, гражданская оборона</t>
  </si>
  <si>
    <t>0820000000</t>
  </si>
  <si>
    <t>Профилактика правонарушений на территории муниципального образования Мотыгинский район</t>
  </si>
  <si>
    <t>0820091020</t>
  </si>
  <si>
    <t>0820091030</t>
  </si>
  <si>
    <t>0810091010</t>
  </si>
  <si>
    <t>0820091040</t>
  </si>
  <si>
    <t>'Осуществление мероприятий по территориальной и гражданской обороне, защите населения и территории Мотыгинского района от чрезвычайных ситуаций природного и техногенного характера</t>
  </si>
  <si>
    <t>'Профилактика терроризма и экстремизма на территории муниципального образования Мотыгинский район</t>
  </si>
  <si>
    <t>'Противодействие незаконному обороту наркотических средств</t>
  </si>
  <si>
    <t>'Проведение мероприятий по трудовому воспитанию несовершеннолетних</t>
  </si>
  <si>
    <t>Благоустройство</t>
  </si>
  <si>
    <t>0503</t>
  </si>
  <si>
    <t>Приложение № 3</t>
  </si>
  <si>
    <t>от ___________ № _________</t>
  </si>
  <si>
    <t xml:space="preserve">'Обеспечение функционирования модели персонифицированного финансирования дополнительного образования детей </t>
  </si>
  <si>
    <t xml:space="preserve">Обеспечение функционирования модели персонифицированного финансирования дополнительного образования детей </t>
  </si>
  <si>
    <t>Субсидии некоммерческим организациям ( за исключением государственных (муниципальных) учреждений</t>
  </si>
  <si>
    <t xml:space="preserve">Председатель Контрольно-счетного органа Мотыгинского района </t>
  </si>
  <si>
    <t>Сумма на          2024 год</t>
  </si>
  <si>
    <t>Сумма на 2024 год</t>
  </si>
  <si>
    <t xml:space="preserve"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</t>
  </si>
  <si>
    <t>Приложение № 4</t>
  </si>
  <si>
    <t>Организация деятельности лагерей с дневным пребыванием детей в рамках подпрограммы "Развитие общего образования" муниципальной программы  Мотыгинского района "Развитие общего и дополнительного образования в Мотыгинском районе"</t>
  </si>
  <si>
    <t>0320088270</t>
  </si>
  <si>
    <t>Содержание автомобильных дорог общего пользования местного значения в рамках подпрограммы "Содержание автомобильных дорог общего пользования местного значения" муниципальной программы "Развитие транспортной системы в Мотыгинском районе"</t>
  </si>
  <si>
    <t>Иной межбюджетный трансферт бюджетам муниципальных образований на содержание автомобильных дорог общего пользования местного значения в рамках подпрограммы "Содержание автомобильных дорог общего пользования местного значения" муниципальной программы "Развитие транспортной системы в Мотыгинском районе"</t>
  </si>
  <si>
    <t xml:space="preserve">0804 </t>
  </si>
  <si>
    <t>Мероприятие содействующее развитию социального туризма и туристической инфраструктуры Мотыгинского района в рамках подпрограммы "Развитие внутреннего и въездного туризма" муниципальной программы  "Развитие культуры и туризма"</t>
  </si>
  <si>
    <t>0250094800</t>
  </si>
  <si>
    <t>Государственная поддержка отрасли культура (модернизация библиотек части комплектования книжных фондов)</t>
  </si>
  <si>
    <t>024А155191</t>
  </si>
  <si>
    <t>Массовый спорт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</si>
  <si>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</si>
  <si>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Оснащение образовательных учреждений сфере культуры музыкальными инструментами, оборудованием и учебными материалами</t>
  </si>
  <si>
    <t>09100S6680</t>
  </si>
  <si>
    <t>1100000000</t>
  </si>
  <si>
    <t>1150000000</t>
  </si>
  <si>
    <t>1150075870</t>
  </si>
  <si>
    <t>Грантовая поддержка на начало ведения предпринимательской деятельности в рамках подпрограммы "Устойчивое развитие сельских территорий"  "Развитие малого, среднего предпринимательства и  сельского хозяйства в Мотыгинском районе"</t>
  </si>
  <si>
    <t>Сумма на          2025 год</t>
  </si>
  <si>
    <t>Сумма на 2025 год</t>
  </si>
  <si>
    <t>Обустройство мест (площадок) накопления отходов потребления и (или) приобретение контейнерного оборудования</t>
  </si>
  <si>
    <t>Осуществление (возмещение расходов),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"Развитие дошкольного образования" муниципальной программы  Мотыгинского района "Развитие общего и дополнительного образования в Мотыгинском районе"</t>
  </si>
  <si>
    <t>03100S8400</t>
  </si>
  <si>
    <t>Проведение реконструкции или капитального ремонта зданий муниципальных общеобразовательных организаций, находящихся в аварийном состоянии в рамках подпрограммы "Развитие общего образования" муниципальной программы «Развитие общего и дополнительного образования в Мотыгинском районе »</t>
  </si>
  <si>
    <t>03200S5620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</si>
  <si>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  в рамках подпрограммы "Развитие общего образования" муниципальной программы «Развитие общего и дополнительного образования в Мотыгинском районе »</t>
  </si>
  <si>
    <t>03200S4300</t>
  </si>
  <si>
    <t>Подпрограмма " Обеспечение работников органов местного самоуправления, муниципальных предприятий и учреждений Мотыгинского района служебным жильем и содержание специализированного жилищного фонда за счет средств бюджета муниципального образования"</t>
  </si>
  <si>
    <t>Подпрограмма "Развитие субъектов малого и среднего предпринимательства на территории Мотыгинского района"</t>
  </si>
  <si>
    <t>Подпрограмма "Развитие сельского хозяйства на территории Мотыгинского района"</t>
  </si>
  <si>
    <t>0930000000</t>
  </si>
  <si>
    <t>0930075170</t>
  </si>
  <si>
    <t>Сумма на          2026 год</t>
  </si>
  <si>
    <t>Подпрограмма "Чистая вода Мотыгинского района"</t>
  </si>
  <si>
    <t>Иной межбюджетный трансферт бюджетам муниципальных образований на реализацию мероприятий по капитальному ремонту, реконструкции, модернизации и строительству объектов водоснабжения коммунальной инфраструктуры</t>
  </si>
  <si>
    <t>0710085010</t>
  </si>
  <si>
    <t>Муниципальная программа "Охрана окружающей среды и обеспечение экологической безопасности на территории муниципального образования Мотыгинский район"</t>
  </si>
  <si>
    <t>1200000000</t>
  </si>
  <si>
    <t>Подпрограмма "Охрана окружающей среды, воспроизводство природных ресурсов в Мотыгинском районе"</t>
  </si>
  <si>
    <t>1210000000</t>
  </si>
  <si>
    <t>1210075180</t>
  </si>
  <si>
    <t>1130000000</t>
  </si>
  <si>
    <t>1130084670</t>
  </si>
  <si>
    <t>МУНИЦИПАЛЬНАЯ ПРОГРАММА "ОХРАНА ОКРУЖАЮЩЕЙ СРЕДЫ И ОБЕСПЕЧЕНИЕ ЭКОЛОГИЧЕСКОЙ БЕЗОПАСНОСТИ НА ТЕРРИТОРИИ МУНИЦИПАЛЬНОГО ОБРАЗОВАНИЯ МОТЫГИНСКИЙ РАЙОН"</t>
  </si>
  <si>
    <t>Осуществление части полномочий контрольно-счетного органа поселений по внешнему муниципальному финансовому контролю</t>
  </si>
  <si>
    <t>955</t>
  </si>
  <si>
    <t>8210084600</t>
  </si>
  <si>
    <t xml:space="preserve">Создание (реконструкция) и капитальный ремонт культурно-досуговых учреждений в сельской местности в рамках подпрограммы "Обеспечение условий реализации муниципальной программы и прочие мероприятия" муниципальной программы  "Развитие культуры и туризма" </t>
  </si>
  <si>
    <t xml:space="preserve"> 02400S4840</t>
  </si>
  <si>
    <t>Создание (реконструкция) и капитальный ремонт культурно-досуговых учреждений в сельской местности в рамках подпрограммы "Обеспечение условий реализации муниципальной программы и прочие мероприятия" муниципальной программы  "Развитие культуры и туризма"</t>
  </si>
  <si>
    <t>032Е151720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</si>
  <si>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программам рамках подпрограммы "Развитие общего образования" муниципальной программы Мотыгинского района "Развитие общего и дополнительного образования в Мотыгинском районе"</t>
  </si>
  <si>
    <t xml:space="preserve">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 в рамках подпрограммы "Развитие дошкольного образования" муниципальной программы «Развитие общего и дополнительного образования в Мотыгинском районе »  </t>
  </si>
  <si>
    <t>03100S5820</t>
  </si>
  <si>
    <t>Модернизация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 в рамках подпрограммы "Развитие дополнительного образования детей" муниципальной программы «Развитие дополнительного образования в Мотыгинском районе »</t>
  </si>
  <si>
    <t>03300S4370</t>
  </si>
  <si>
    <t>Устройство плоскостных спортивных сооружений в сельской местности  в рамках подпрограммы "Развитие общего образования" муниципальной программы «Развитие общего и дополнительного образования в Мотыгинском районе »</t>
  </si>
  <si>
    <t>03200S8450</t>
  </si>
  <si>
    <t>0240080060</t>
  </si>
  <si>
    <t>Субвенции бюджетам муниципальных районов на осуществление отдельных государственных полномочий в области охраны труда по государственному управлению охраной труда</t>
  </si>
  <si>
    <t>8510076850</t>
  </si>
  <si>
    <t>Распределение бюджетных ассигнований по разделам и 
подразделам бюджетной классификации расходов бюджетов Российской Федерации 
на 2024 год и плановый период 2025-2026 годов</t>
  </si>
  <si>
    <t>Сумма на 2024  год</t>
  </si>
  <si>
    <t>Сумма на 2026 год</t>
  </si>
  <si>
    <t>(рублей)</t>
  </si>
  <si>
    <t>на 2024 год и плановый период 2025-2026 гг.</t>
  </si>
  <si>
    <t>( рублей)</t>
  </si>
  <si>
    <t>рублей</t>
  </si>
  <si>
    <t>12100S4630</t>
  </si>
  <si>
    <t>Разработка генерального плана и проекта правил землепользования и застройки муниципального образования Новоангарский сельсовет</t>
  </si>
  <si>
    <t>Реализация образовательного наставнического проекта в области культуры и искусства "Историческое погружение "От Рыбенского острога до …"</t>
  </si>
  <si>
    <t>Распределение бюджетных ассигнований по целевым статьям (муниципальным программам Мотыгинского района и непрограммным направлениям деятельности), группам и подгруппам видов расходов, разделам, подразделам классификации расходов районного бюджета на 2024 год и плановый период 2025-2026 гг.</t>
  </si>
  <si>
    <t>1210089110</t>
  </si>
  <si>
    <t>1210089120</t>
  </si>
  <si>
    <t>1210089130</t>
  </si>
  <si>
    <t>8510074290</t>
  </si>
  <si>
    <t>8510051200</t>
  </si>
  <si>
    <t>Создание условий для оснащения (обновление материально-технической базы) оборудованием,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в рамках подпрограммы "Развитие общего образования" муниципальной программы "Развитие общего и дополнительного образования в Мотыгинском районе"</t>
  </si>
  <si>
    <t>0320015210</t>
  </si>
  <si>
    <t>Организация и обеспечение бесплатным питанием обучающихся с ограниченными возможностями здоровья в муниципальных образовательных организациях  в рамках подпрограммы ""Развитие общего образования"" муниципальной программы «Развитие общего и дополнительного образования в Мотыгинском районе »</t>
  </si>
  <si>
    <t>03200S5830</t>
  </si>
  <si>
    <t>'Закупка товаров, работ и услуг для обеспечения государственных (муниципальных) нужд</t>
  </si>
  <si>
    <t>'Иные закупки товаров, работ и услуг для обеспечения государственных (муниципальных) нужд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</si>
  <si>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</si>
  <si>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"Защита населения и территорий Мотыгинского района от чрезвычайных ситуаций природного и техногенного характера"</t>
  </si>
  <si>
    <t>Обеспечение первичных мер пожарной безопасности рамках подпрограммы  "Осуществление деятельности по обеспечению безопасности в чрезвычайных ситуациях" муниципальной программы "Защита населения и территорий Мотыгинского района от чрезвычайных ситуаций природного и техногенного характера"</t>
  </si>
  <si>
    <t>08100S4120</t>
  </si>
  <si>
    <t>'Межбюджетные трансферты</t>
  </si>
  <si>
    <t>'Иные межбюджетные трансферты</t>
  </si>
  <si>
    <t>1102</t>
  </si>
  <si>
    <t>0110074180</t>
  </si>
  <si>
    <t>Осуществление расходов, направленных на реализацию мероприятий по поддержке местных инициатив в рамках подпрограммы " Благоустройство территорий" муниципальной программы Мотыгинского района "Содействие развитию местного самоуправления"</t>
  </si>
  <si>
    <t>06200S6410</t>
  </si>
  <si>
    <t>02400L5190</t>
  </si>
  <si>
    <t>024А255195</t>
  </si>
  <si>
    <t>'Предоставление субсидий бюджетным, автономным учреждениям и иным некоммерческим организациям</t>
  </si>
  <si>
    <t>024А255196</t>
  </si>
  <si>
    <t>Государственная поддержка лучших сельских учреждений культуры в рамках Подпрограммы "Обеспечение условий реализации муниципальной программы и прочие мероприятия" муниципальной программы Мотыгинского района "Развитие культуры и туризма"</t>
  </si>
  <si>
    <t>Государственная поддержка лучших работников сельских учреждений культуры в рамках Подпрограммы "Обеспечение условий реализации муниципальной программы и прочие мероприятия" муниципальной программы Мотыгинского района "Развитие культуры и туризма"</t>
  </si>
  <si>
    <t>Непрограммные расходы Управления образования Мотыгинского района</t>
  </si>
  <si>
    <t>9140000000</t>
  </si>
  <si>
    <t>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 в рамках непрограммных расходов Управления образования Мотыгинского района"</t>
  </si>
  <si>
    <t>91Г0008530</t>
  </si>
  <si>
    <t>'Субсидии бюджетным учреждениям</t>
  </si>
  <si>
    <t>03200L3030</t>
  </si>
  <si>
    <t>'Социальное обеспечение и иные выплаты населению</t>
  </si>
  <si>
    <t>03200L3041</t>
  </si>
  <si>
    <t>03300S5680</t>
  </si>
  <si>
    <t>Реализация мероприятий направленных на увеличение охвата детей , обучающихся по дополнительным общеразвивающим программам в рамках подпрограммы «Развитие дополнительного образования детей» муниципаоьной программы Мотыгинского района "Развитие общего и дополнительного образования в Мотыгинском районе"</t>
  </si>
  <si>
    <t>032ЕВ51790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</si>
  <si>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</si>
  <si>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'Обеспечение первичных мер пожарной безопасности рамках подпрограммы  "Осуществление деятельности по обеспечению безопасности в чрезвычайных ситуациях" муниципальной программы "Защита населения и территорий Мотыгинского района от чрезвычайных ситуаций природного и техногенного характера"</t>
  </si>
  <si>
    <t>Поддержка физкультурно-спортивных клубов по месту жительства в рамках подпрограмма "Развитие массовой физической культуры и спорта на территории Мотыгинского района" муниципальной программы "Развитие физической культуры и спорта на территории Мотыгинского района"</t>
  </si>
  <si>
    <t>'Осуществление расходов, направленных на реализацию мероприятий по поддержке местных инициатив в рамках подпрограммы " Благоустройство территорий" муниципальной программы Мотыгинского района "Содействие развитию местного самоуправления"</t>
  </si>
  <si>
    <t>0310080210</t>
  </si>
  <si>
    <t>0320080210</t>
  </si>
  <si>
    <t>''Предоставление субсидий бюджетным, автономным учреждениям и иным некоммерческим организациям</t>
  </si>
  <si>
    <t>''Субсидии бюджетным учреждениям</t>
  </si>
  <si>
    <t>0330080210</t>
  </si>
  <si>
    <t>0320080040</t>
  </si>
  <si>
    <t>0320088140</t>
  </si>
  <si>
    <t>Разработка проекта сметной документации для создания современных, комфортных условий в образовательных учреждениях в рамках подпрограммы "Развитие общего образования" муниципальной программы Мотыгинского района "Развитие общего и дополнительного образования в Мотыгинском районе"</t>
  </si>
  <si>
    <t>'''Предоставление субсидий бюджетным, автономным учреждениям и иным некоммерческим организациям</t>
  </si>
  <si>
    <t>'Проведение капитальных и текущих ремонтов общеобразовательных учреждений в рамках подпрограммы"Развитие дошкольного образования" муниципальной программы Мотыгинского района "Развитие общего и дополнительного образования в Мотыгинском районе"</t>
  </si>
  <si>
    <t>'Разработка проекта сметной документации для создания современных, комфортных условий в образовательных учреждениях в рамках подпрограммы "Развитие общего образования" муниципальной программы Мотыгинского района "Развитие общего и дополнительного образования в Мотыгинском районе"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</si>
  <si>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программам в рамках подпрограммы "Развитие общего образования" муниципальной программы Мотыгинского района "Развитие общего и дополнительного образования в Мотыгинском районе"</t>
  </si>
  <si>
    <t xml:space="preserve">Подготовка дошкольных учреждений к новому учебному году в рамках подпрограммы "Развитие дошкольного образования" муниципальной программы «Развитие общего и дополнительного образования в Мотыгинском районе »  </t>
  </si>
  <si>
    <t>Подготовка общеобразовательных учреждений к новому учебному году в рамках подпрограммы "Развитие общего образования" муниципальной программы Мотыгинского района "Развитие общего и дополнительного образования в Мотыгинском районе"</t>
  </si>
  <si>
    <t>Проведение капитальных и текущих ремонтов общеобразовательных учреждений в рамках подпрограммы "Развитие общего образования" муниципальной программы Мотыгинского района "Развитие общего и дополнительного образования в Мотыгинском районе"</t>
  </si>
  <si>
    <t>Подготовка учреждений дополнительного образования к новому учебному году в рамках подпрограммы "Развитие дополнительного образования детей" муниципальной программы «Развитие дополнительного образования в Мотыгинском районе »</t>
  </si>
  <si>
    <t>Реализация мероприятий направленных на увеличение охвата детей , обучающихся по дополнительным общеразвивающим программам в рамках подпрограммы «Развитие дополнительного образования детей» муниципальной программы Мотыгинского района "Развитие общего и дополнительного образования в Мотыгинском районе"</t>
  </si>
  <si>
    <t>'Организация и обеспечение обучающихся по образовательным программам начального общего образования в муниципальных образовательных организациях, 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 в рамках подпрограммы ""Развитие общего образования"" муниципальной программы «Развитие общего и дополнительного образования в Мотыгинском районе »</t>
  </si>
  <si>
    <t>'Другие вопросы в области охраны окружающей среды</t>
  </si>
  <si>
    <t>Разработка проекта сметной документации для создания современных, комфортных условий в образовательных учреждениях в рамках подпрограммы "Развитие дошкольного образования" муниципальной программы Мотыгинского района "Развитие общего и дополнительного образования в Мотыгинском районе"</t>
  </si>
  <si>
    <t>0310088140</t>
  </si>
  <si>
    <t>'Разработка проекта сметной документации для создания современных, комфортных условий в образовательных учреждениях в рамках подпрограммы "Развитие дошкольного образования" муниципальной программы Мотыгинского района "Развитие общего и дополнительного образования в Мотыгинском районе"</t>
  </si>
  <si>
    <t>08100S6750</t>
  </si>
  <si>
    <t>Приобретение извещателей дымовых автономных отдельным категориям граждан в целях оснащения ими жилых помещений в рамках подпрограммы "Осуществление деятельности по обеспечению безопасности в чрезвычайных ситуациях" муниципальной программы Мотыгинского района "Защита населения и территорий Мотыгинского района от чрезвычайных ситуаций природного и техногенного характера"</t>
  </si>
  <si>
    <t>Осуществление мероприятий по территориальной и гражданской обороне, защите населения и территории Мотыгинского района от чрезвычайных ситуаций природного и техногенного характерав рамках подпрограммы "Осуществление деятельности по обеспечению безопасности в чрезвычайных ситуациях" муниципальной программы Мотыгинского района "Защита населения и территорий Мотыгинского района от чрезвычайных ситуаций природного и техногенного характера"</t>
  </si>
  <si>
    <t>Профилактика правонарушений на территории муниципального образования Мотыгинский район в рамках подпрограммы "Профилактика правонарушений и укрепление общественного порядка и общественной безопасности" муниципальной программы Мотыгинского района "Защита населения и территорий Мотыгинского района от чрезвычайных ситуаций природного и техногенного характера"</t>
  </si>
  <si>
    <t>Профилактика терроризма и экстремизма на территории муниципального образования Мотыгинский район в рамках подпрограммы "Профилактика правонарушений и укрепление общественного порядка и общественной безопасности" муниципальной программы Мотыгинского района "Защита населения и территорий Мотыгинского района от чрезвычайных ситуаций природного и техногенного характера"</t>
  </si>
  <si>
    <t>Противодействие незаконному обороту наркотических средств в рамках подпрограммы "Профилактика правонарушений и укрепление общественного порядка и общественной безопасности" муниципальной программы Мотыгинского района "Защита населения и территорий Мотыгинского района от чрезвычайных ситуаций природного и техногенного характера"</t>
  </si>
  <si>
    <t>Освобождение территории Мотыгинского района  от несанкционированных свалок в рамках подпрограммы "Охрана окружающей среды, воспроизводство природных ресурсов в Мотыгинском районе" муниципальной программы "Охрана окружающей среды и обеспечение экологической безопасности на территории муниципального образования Мотыгинский район"</t>
  </si>
  <si>
    <t>Субвенции бюджетам муниципальных образований на выполнение государственных полномочий по организации проведения мероприятий по отлову и содержанию безнадзорных животных  рамках подпрограммы "Охрана окружающей среды, воспроизводство природных ресурсов в Мотыгинском районе" муниципальной программы "Охрана окружающей среды и обеспечение экологической безопасности на территории муниципального образования Мотыгинский район"</t>
  </si>
  <si>
    <t>Обустройство мест (площадок) накопления отходов потребления и (или) приобретение контейнерного оборудования  рамках подпрограммы "Охрана окружающей среды, воспроизводство природных ресурсов в Мотыгинском районе" муниципальной программы "Охрана окружающей среды и обеспечение экологической безопасности на территории муниципального образования Мотыгинский район"</t>
  </si>
  <si>
    <t>Выявление и оценка объектов накопленного вреда окружающей среде, в том числе проведение инженерных изысканий на таких объектах в рамках подпрограммы "Охрана окружающей среды, воспроизводство природных ресурсов в Мотыгинском районе" муниципальной программы "Охрана окружающей среды и обеспечение экологической безопасности на территории муниципального образования Мотыгинский район"</t>
  </si>
  <si>
    <t>Разработка проектно-сметной документации по ликвидации накопленного вреда окружающей среде рамках подпрограммы "Охрана окружающей среды, воспроизводство природных ресурсов в Мотыгинском районе" муниципальной программы "Охрана окружающей среды и обеспечение экологической безопасности на территории муниципального образования Мотыгинский район"</t>
  </si>
  <si>
    <t>'Освобождение территории Мотыгинского района  от несанкционированных свалок в рамках подпрограммы "Охрана окружающей среды, воспроизводство природных ресурсов в Мотыгинском районе" муниципальной программы "Охрана окружающей среды и обеспечение экологической безопасности на территории муниципального образования Мотыгинский район"</t>
  </si>
  <si>
    <t>Внесение изменений в Местные нормативы градостроительного проектирования Мотыгинского района Красноярского края и муниципальных образований, входящих в его состав в рамках подпрограммы "Территориальное планирование, градостроительное зонирование и документация по планировке территории Мотыгинского района" Муниципальная программа " Обеспечение доступным и комфортным жильем в Мотыгинском районе "</t>
  </si>
  <si>
    <t>1130084690</t>
  </si>
  <si>
    <t>'Подготовка общеобразовательных учреждений к новому учебному году в рамках подпрограммы "Развитие общего образования" муниципальной программы Мотыгинского района "Развитие общего и дополнительного образования в Мотыгинском районе"</t>
  </si>
  <si>
    <t>'Подготовка учреждений дополнительного образования к новому учебному году в рамках подпрограммы "Развитие дополнительного образования детей" муниципальной программы «Развитие дополнительного образования в Мотыгинском районе »</t>
  </si>
  <si>
    <r>
      <t xml:space="preserve">от </t>
    </r>
    <r>
      <rPr>
        <u/>
        <sz val="11"/>
        <color theme="1"/>
        <rFont val="Times New Roman"/>
        <family val="1"/>
        <charset val="204"/>
      </rPr>
      <t>19.12.2023</t>
    </r>
    <r>
      <rPr>
        <sz val="11"/>
        <color theme="1"/>
        <rFont val="Times New Roman"/>
        <family val="1"/>
        <charset val="204"/>
      </rPr>
      <t xml:space="preserve"> №</t>
    </r>
    <r>
      <rPr>
        <u/>
        <sz val="11"/>
        <color theme="1"/>
        <rFont val="Times New Roman"/>
        <family val="1"/>
        <charset val="204"/>
      </rPr>
      <t xml:space="preserve"> 23-254</t>
    </r>
  </si>
  <si>
    <t>Содействие развитию налогового потенциала в рамках подпрограммы "Эффективное управление муниципальной собственностью и земельными ресурсами на территории Мотыгинского района" муниципальной программы " Содействие развитию местного самоуправления"</t>
  </si>
  <si>
    <t>0610077450</t>
  </si>
  <si>
    <t>8510084580</t>
  </si>
  <si>
    <t>9150000620</t>
  </si>
  <si>
    <t>8110000240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</si>
</sst>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</numFmts>
  <fonts count="25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i/>
      <sz val="12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164" fontId="11" fillId="0" borderId="0" applyFont="0" applyFill="0" applyBorder="0" applyAlignment="0" applyProtection="0"/>
  </cellStyleXfs>
  <cellXfs count="401">
    <xf numFmtId="0" fontId="0" fillId="0" borderId="0" xfId="0"/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top"/>
    </xf>
    <xf numFmtId="0" fontId="2" fillId="0" borderId="0" xfId="0" applyFont="1" applyFill="1"/>
    <xf numFmtId="0" fontId="5" fillId="0" borderId="0" xfId="0" applyFont="1" applyFill="1" applyAlignment="1">
      <alignment horizontal="right"/>
    </xf>
    <xf numFmtId="0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NumberFormat="1" applyFont="1" applyAlignment="1">
      <alignment horizontal="justify" vertical="center" wrapText="1"/>
    </xf>
    <xf numFmtId="0" fontId="1" fillId="0" borderId="0" xfId="0" applyNumberFormat="1" applyFont="1" applyFill="1" applyAlignment="1">
      <alignment horizontal="justify" vertical="center" wrapText="1"/>
    </xf>
    <xf numFmtId="0" fontId="2" fillId="0" borderId="0" xfId="0" applyNumberFormat="1" applyFont="1" applyFill="1" applyAlignment="1">
      <alignment horizontal="justify" vertical="center" wrapText="1"/>
    </xf>
    <xf numFmtId="0" fontId="2" fillId="0" borderId="1" xfId="0" applyNumberFormat="1" applyFont="1" applyBorder="1" applyAlignment="1">
      <alignment horizontal="justify" vertical="center" wrapText="1"/>
    </xf>
    <xf numFmtId="0" fontId="3" fillId="0" borderId="0" xfId="0" applyFont="1"/>
    <xf numFmtId="4" fontId="3" fillId="0" borderId="0" xfId="0" applyNumberFormat="1" applyFont="1"/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2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Fill="1" applyAlignment="1">
      <alignment horizontal="center"/>
    </xf>
    <xf numFmtId="2" fontId="6" fillId="0" borderId="0" xfId="0" applyNumberFormat="1" applyFont="1" applyFill="1" applyAlignment="1">
      <alignment horizontal="center" vertical="center"/>
    </xf>
    <xf numFmtId="49" fontId="6" fillId="0" borderId="0" xfId="0" applyNumberFormat="1" applyFont="1" applyFill="1" applyAlignment="1">
      <alignment horizontal="center" vertical="top"/>
    </xf>
    <xf numFmtId="0" fontId="6" fillId="0" borderId="0" xfId="0" applyNumberFormat="1" applyFont="1" applyFill="1" applyAlignment="1">
      <alignment horizontal="justify" vertical="center"/>
    </xf>
    <xf numFmtId="49" fontId="6" fillId="0" borderId="0" xfId="0" applyNumberFormat="1" applyFont="1" applyFill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top" wrapText="1"/>
    </xf>
    <xf numFmtId="164" fontId="3" fillId="0" borderId="1" xfId="2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64" fontId="6" fillId="0" borderId="1" xfId="2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justify" vertical="center"/>
    </xf>
    <xf numFmtId="49" fontId="3" fillId="2" borderId="1" xfId="0" applyNumberFormat="1" applyFont="1" applyFill="1" applyBorder="1" applyAlignment="1">
      <alignment horizontal="center" vertical="center"/>
    </xf>
    <xf numFmtId="164" fontId="3" fillId="0" borderId="1" xfId="2" applyFont="1" applyBorder="1" applyAlignment="1">
      <alignment horizontal="center" vertical="center"/>
    </xf>
    <xf numFmtId="0" fontId="10" fillId="0" borderId="1" xfId="0" applyFont="1" applyBorder="1" applyAlignment="1">
      <alignment horizontal="justify" vertical="center"/>
    </xf>
    <xf numFmtId="0" fontId="10" fillId="0" borderId="1" xfId="0" applyFont="1" applyBorder="1" applyAlignment="1">
      <alignment horizontal="center" vertical="center"/>
    </xf>
    <xf numFmtId="164" fontId="10" fillId="0" borderId="1" xfId="2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 wrapText="1"/>
    </xf>
    <xf numFmtId="164" fontId="15" fillId="0" borderId="1" xfId="2" applyFont="1" applyFill="1" applyBorder="1" applyAlignment="1">
      <alignment horizontal="center" vertical="center"/>
    </xf>
    <xf numFmtId="0" fontId="3" fillId="0" borderId="0" xfId="0" applyFont="1" applyBorder="1" applyAlignment="1">
      <alignment horizontal="justify" vertical="center"/>
    </xf>
    <xf numFmtId="0" fontId="17" fillId="0" borderId="1" xfId="0" applyFont="1" applyFill="1" applyBorder="1" applyAlignment="1">
      <alignment horizontal="justify" vertical="center" wrapText="1"/>
    </xf>
    <xf numFmtId="0" fontId="18" fillId="0" borderId="1" xfId="0" applyFont="1" applyFill="1" applyBorder="1" applyAlignment="1">
      <alignment horizontal="justify" vertical="center" wrapText="1"/>
    </xf>
    <xf numFmtId="164" fontId="10" fillId="3" borderId="1" xfId="2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justify" vertical="center" wrapText="1"/>
    </xf>
    <xf numFmtId="0" fontId="10" fillId="0" borderId="1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164" fontId="14" fillId="0" borderId="1" xfId="2" applyFont="1" applyFill="1" applyBorder="1" applyAlignment="1">
      <alignment horizontal="center" vertical="center"/>
    </xf>
    <xf numFmtId="164" fontId="10" fillId="0" borderId="1" xfId="2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3" fillId="0" borderId="0" xfId="0" applyFont="1" applyFill="1"/>
    <xf numFmtId="0" fontId="4" fillId="0" borderId="1" xfId="0" applyNumberFormat="1" applyFont="1" applyFill="1" applyBorder="1" applyAlignment="1">
      <alignment horizontal="justify" vertical="center" wrapText="1"/>
    </xf>
    <xf numFmtId="0" fontId="4" fillId="0" borderId="1" xfId="0" quotePrefix="1" applyNumberFormat="1" applyFont="1" applyFill="1" applyBorder="1" applyAlignment="1">
      <alignment horizontal="justify" vertical="center" wrapText="1"/>
    </xf>
    <xf numFmtId="0" fontId="21" fillId="0" borderId="1" xfId="0" applyNumberFormat="1" applyFont="1" applyFill="1" applyBorder="1" applyAlignment="1">
      <alignment horizontal="justify" vertical="center" wrapText="1"/>
    </xf>
    <xf numFmtId="0" fontId="21" fillId="0" borderId="1" xfId="0" applyFont="1" applyFill="1" applyBorder="1" applyAlignment="1">
      <alignment horizontal="justify" vertical="center" wrapText="1"/>
    </xf>
    <xf numFmtId="0" fontId="1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justify" vertical="center" wrapText="1"/>
    </xf>
    <xf numFmtId="0" fontId="8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NumberFormat="1" applyFont="1" applyFill="1" applyBorder="1" applyAlignment="1">
      <alignment horizontal="justify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justify" vertical="center" wrapText="1"/>
    </xf>
    <xf numFmtId="0" fontId="7" fillId="0" borderId="1" xfId="0" quotePrefix="1" applyNumberFormat="1" applyFont="1" applyFill="1" applyBorder="1" applyAlignment="1">
      <alignment horizontal="justify" vertical="center" wrapText="1"/>
    </xf>
    <xf numFmtId="0" fontId="7" fillId="0" borderId="1" xfId="0" applyNumberFormat="1" applyFont="1" applyFill="1" applyBorder="1" applyAlignment="1">
      <alignment horizontal="justify" vertical="center" wrapText="1"/>
    </xf>
    <xf numFmtId="0" fontId="13" fillId="0" borderId="1" xfId="0" applyFont="1" applyFill="1" applyBorder="1" applyAlignment="1">
      <alignment horizontal="justify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justify" vertical="center" wrapText="1"/>
    </xf>
    <xf numFmtId="0" fontId="15" fillId="0" borderId="1" xfId="0" applyFont="1" applyFill="1" applyBorder="1" applyAlignment="1">
      <alignment horizontal="justify" vertical="center" wrapText="1"/>
    </xf>
    <xf numFmtId="0" fontId="12" fillId="0" borderId="1" xfId="0" applyNumberFormat="1" applyFont="1" applyFill="1" applyBorder="1" applyAlignment="1">
      <alignment horizontal="justify" vertical="center" wrapText="1"/>
    </xf>
    <xf numFmtId="49" fontId="18" fillId="0" borderId="1" xfId="0" applyNumberFormat="1" applyFont="1" applyFill="1" applyBorder="1" applyAlignment="1">
      <alignment horizontal="justify" vertical="center" wrapText="1"/>
    </xf>
    <xf numFmtId="0" fontId="15" fillId="0" borderId="1" xfId="0" applyFont="1" applyFill="1" applyBorder="1" applyAlignment="1">
      <alignment horizontal="justify" vertical="center"/>
    </xf>
    <xf numFmtId="0" fontId="10" fillId="0" borderId="1" xfId="0" applyFont="1" applyFill="1" applyBorder="1" applyAlignment="1">
      <alignment horizontal="justify" vertical="center"/>
    </xf>
    <xf numFmtId="164" fontId="10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justify" vertical="center"/>
    </xf>
    <xf numFmtId="0" fontId="3" fillId="0" borderId="0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justify" vertical="center" wrapText="1"/>
    </xf>
    <xf numFmtId="0" fontId="22" fillId="0" borderId="1" xfId="0" applyFont="1" applyFill="1" applyBorder="1" applyAlignment="1">
      <alignment horizontal="justify" vertical="center" wrapText="1"/>
    </xf>
    <xf numFmtId="0" fontId="4" fillId="0" borderId="1" xfId="0" applyNumberFormat="1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justify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justify" vertical="center" wrapText="1"/>
    </xf>
    <xf numFmtId="0" fontId="4" fillId="0" borderId="1" xfId="0" applyNumberFormat="1" applyFont="1" applyFill="1" applyBorder="1" applyAlignment="1">
      <alignment horizontal="justify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justify" vertical="center" wrapText="1"/>
    </xf>
    <xf numFmtId="0" fontId="14" fillId="0" borderId="1" xfId="0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justify" vertical="center" wrapText="1"/>
    </xf>
    <xf numFmtId="49" fontId="2" fillId="0" borderId="1" xfId="0" applyNumberFormat="1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/>
    </xf>
    <xf numFmtId="0" fontId="7" fillId="0" borderId="1" xfId="0" applyNumberFormat="1" applyFont="1" applyBorder="1" applyAlignment="1">
      <alignment horizontal="center" vertical="center"/>
    </xf>
    <xf numFmtId="0" fontId="12" fillId="0" borderId="1" xfId="0" quotePrefix="1" applyNumberFormat="1" applyFont="1" applyBorder="1" applyAlignment="1">
      <alignment horizontal="justify" vertical="center" wrapText="1"/>
    </xf>
    <xf numFmtId="0" fontId="12" fillId="0" borderId="1" xfId="0" quotePrefix="1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right" vertical="center" wrapText="1"/>
    </xf>
    <xf numFmtId="0" fontId="7" fillId="0" borderId="1" xfId="0" quotePrefix="1" applyNumberFormat="1" applyFont="1" applyBorder="1" applyAlignment="1">
      <alignment horizontal="justify" vertical="center" wrapText="1"/>
    </xf>
    <xf numFmtId="0" fontId="7" fillId="0" borderId="1" xfId="0" quotePrefix="1" applyNumberFormat="1" applyFont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right" wrapText="1"/>
    </xf>
    <xf numFmtId="0" fontId="7" fillId="0" borderId="1" xfId="0" applyNumberFormat="1" applyFont="1" applyBorder="1" applyAlignment="1">
      <alignment horizontal="justify" vertical="center" wrapText="1"/>
    </xf>
    <xf numFmtId="49" fontId="7" fillId="0" borderId="1" xfId="0" applyNumberFormat="1" applyFont="1" applyBorder="1" applyAlignment="1">
      <alignment horizontal="center" wrapText="1"/>
    </xf>
    <xf numFmtId="4" fontId="12" fillId="0" borderId="1" xfId="0" applyNumberFormat="1" applyFont="1" applyFill="1" applyBorder="1" applyAlignment="1">
      <alignment horizontal="right" vertical="center" wrapText="1"/>
    </xf>
    <xf numFmtId="0" fontId="12" fillId="0" borderId="1" xfId="0" quotePrefix="1" applyNumberFormat="1" applyFont="1" applyBorder="1" applyAlignment="1">
      <alignment horizontal="left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5" fontId="12" fillId="0" borderId="1" xfId="0" applyNumberFormat="1" applyFont="1" applyFill="1" applyBorder="1" applyAlignment="1">
      <alignment horizontal="right" vertical="center" wrapText="1"/>
    </xf>
    <xf numFmtId="49" fontId="23" fillId="0" borderId="1" xfId="0" applyNumberFormat="1" applyFont="1" applyBorder="1" applyAlignment="1">
      <alignment horizontal="center" wrapText="1"/>
    </xf>
    <xf numFmtId="4" fontId="23" fillId="0" borderId="1" xfId="0" applyNumberFormat="1" applyFont="1" applyFill="1" applyBorder="1" applyAlignment="1">
      <alignment horizontal="right" wrapText="1"/>
    </xf>
    <xf numFmtId="4" fontId="7" fillId="0" borderId="1" xfId="0" applyNumberFormat="1" applyFont="1" applyBorder="1" applyAlignment="1">
      <alignment horizontal="right" wrapText="1"/>
    </xf>
    <xf numFmtId="0" fontId="12" fillId="0" borderId="1" xfId="0" applyNumberFormat="1" applyFont="1" applyBorder="1" applyAlignment="1">
      <alignment horizontal="justify" vertical="center" wrapText="1"/>
    </xf>
    <xf numFmtId="0" fontId="12" fillId="0" borderId="1" xfId="0" quotePrefix="1" applyNumberFormat="1" applyFont="1" applyBorder="1" applyAlignment="1">
      <alignment horizontal="center" wrapText="1"/>
    </xf>
    <xf numFmtId="4" fontId="12" fillId="0" borderId="1" xfId="0" applyNumberFormat="1" applyFont="1" applyBorder="1" applyAlignment="1">
      <alignment horizontal="right" wrapText="1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justify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justify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justify" vertical="center" wrapText="1"/>
    </xf>
    <xf numFmtId="0" fontId="4" fillId="0" borderId="1" xfId="0" quotePrefix="1" applyNumberFormat="1" applyFont="1" applyFill="1" applyBorder="1" applyAlignment="1">
      <alignment horizontal="left" vertical="top" wrapText="1"/>
    </xf>
    <xf numFmtId="0" fontId="7" fillId="0" borderId="1" xfId="0" quotePrefix="1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justify" vertical="center" wrapText="1"/>
    </xf>
    <xf numFmtId="164" fontId="3" fillId="2" borderId="1" xfId="2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4" fillId="0" borderId="1" xfId="0" quotePrefix="1" applyNumberFormat="1" applyFont="1" applyFill="1" applyBorder="1" applyAlignment="1">
      <alignment horizontal="justify" vertical="center" wrapText="1"/>
    </xf>
    <xf numFmtId="0" fontId="13" fillId="0" borderId="1" xfId="0" applyFont="1" applyFill="1" applyBorder="1" applyAlignment="1">
      <alignment horizontal="justify" vertical="center" wrapText="1"/>
    </xf>
    <xf numFmtId="0" fontId="4" fillId="0" borderId="1" xfId="0" applyNumberFormat="1" applyFont="1" applyFill="1" applyBorder="1" applyAlignment="1">
      <alignment horizontal="justify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64" fontId="10" fillId="0" borderId="0" xfId="2" applyFont="1" applyBorder="1" applyAlignment="1">
      <alignment horizontal="center" vertical="center"/>
    </xf>
    <xf numFmtId="0" fontId="4" fillId="2" borderId="1" xfId="0" quotePrefix="1" applyNumberFormat="1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justify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64" fontId="15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/>
    <xf numFmtId="164" fontId="3" fillId="0" borderId="1" xfId="2" applyFont="1" applyFill="1" applyBorder="1"/>
    <xf numFmtId="0" fontId="3" fillId="0" borderId="1" xfId="0" applyFont="1" applyBorder="1"/>
    <xf numFmtId="164" fontId="3" fillId="0" borderId="0" xfId="2" applyFont="1" applyFill="1"/>
    <xf numFmtId="164" fontId="3" fillId="0" borderId="0" xfId="2" applyFont="1" applyFill="1" applyBorder="1" applyAlignment="1">
      <alignment horizontal="center" vertical="center"/>
    </xf>
    <xf numFmtId="164" fontId="3" fillId="0" borderId="0" xfId="2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quotePrefix="1" applyNumberFormat="1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/>
    </xf>
    <xf numFmtId="164" fontId="14" fillId="0" borderId="4" xfId="2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justify" vertical="center" wrapText="1"/>
    </xf>
    <xf numFmtId="49" fontId="14" fillId="0" borderId="4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justify" vertical="center" wrapText="1"/>
    </xf>
    <xf numFmtId="0" fontId="4" fillId="0" borderId="1" xfId="0" applyNumberFormat="1" applyFont="1" applyFill="1" applyBorder="1" applyAlignment="1">
      <alignment horizontal="justify" vertical="center" wrapText="1"/>
    </xf>
    <xf numFmtId="0" fontId="17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justify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justify" vertical="center" wrapText="1"/>
    </xf>
    <xf numFmtId="0" fontId="13" fillId="0" borderId="1" xfId="0" applyFont="1" applyFill="1" applyBorder="1" applyAlignment="1">
      <alignment horizontal="justify" vertical="center" wrapText="1"/>
    </xf>
    <xf numFmtId="0" fontId="4" fillId="0" borderId="1" xfId="0" applyNumberFormat="1" applyFont="1" applyFill="1" applyBorder="1" applyAlignment="1">
      <alignment horizontal="justify" vertical="center" wrapText="1"/>
    </xf>
    <xf numFmtId="0" fontId="4" fillId="0" borderId="1" xfId="0" quotePrefix="1" applyNumberFormat="1" applyFont="1" applyFill="1" applyBorder="1" applyAlignment="1">
      <alignment horizontal="justify" vertical="center" wrapText="1"/>
    </xf>
    <xf numFmtId="0" fontId="17" fillId="0" borderId="1" xfId="0" applyFont="1" applyFill="1" applyBorder="1" applyAlignment="1">
      <alignment horizontal="justify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justify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4" fillId="0" borderId="1" xfId="0" quotePrefix="1" applyNumberFormat="1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/>
    </xf>
    <xf numFmtId="164" fontId="15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justify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4" fillId="0" borderId="1" xfId="0" quotePrefix="1" applyNumberFormat="1" applyFont="1" applyFill="1" applyBorder="1" applyAlignment="1">
      <alignment horizontal="justify" vertical="center" wrapText="1"/>
    </xf>
    <xf numFmtId="0" fontId="3" fillId="0" borderId="4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justify" vertical="center" wrapText="1"/>
    </xf>
    <xf numFmtId="0" fontId="17" fillId="0" borderId="1" xfId="0" applyFont="1" applyFill="1" applyBorder="1" applyAlignment="1">
      <alignment horizontal="justify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justify" vertical="center" wrapText="1"/>
    </xf>
    <xf numFmtId="0" fontId="4" fillId="0" borderId="1" xfId="0" quotePrefix="1" applyNumberFormat="1" applyFont="1" applyFill="1" applyBorder="1" applyAlignment="1">
      <alignment horizontal="justify" vertical="center" wrapText="1"/>
    </xf>
    <xf numFmtId="49" fontId="3" fillId="0" borderId="0" xfId="0" applyNumberFormat="1" applyFont="1" applyAlignment="1">
      <alignment horizontal="center" vertical="center"/>
    </xf>
    <xf numFmtId="49" fontId="8" fillId="0" borderId="0" xfId="0" applyNumberFormat="1" applyFont="1" applyFill="1" applyAlignment="1">
      <alignment horizontal="center"/>
    </xf>
    <xf numFmtId="49" fontId="10" fillId="0" borderId="1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/>
    </xf>
    <xf numFmtId="164" fontId="3" fillId="0" borderId="1" xfId="2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justify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3" fillId="0" borderId="0" xfId="0" applyFont="1" applyBorder="1"/>
    <xf numFmtId="0" fontId="3" fillId="0" borderId="1" xfId="0" applyFont="1" applyBorder="1" applyAlignment="1">
      <alignment horizontal="center"/>
    </xf>
    <xf numFmtId="0" fontId="6" fillId="0" borderId="0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justify" vertical="center" wrapText="1"/>
    </xf>
    <xf numFmtId="49" fontId="14" fillId="0" borderId="4" xfId="0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164" fontId="3" fillId="0" borderId="4" xfId="2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justify" vertical="center" wrapText="1"/>
    </xf>
    <xf numFmtId="164" fontId="3" fillId="4" borderId="0" xfId="2" applyFont="1" applyFill="1"/>
    <xf numFmtId="0" fontId="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justify" vertical="center" wrapText="1"/>
    </xf>
    <xf numFmtId="0" fontId="15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justify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4" fillId="0" borderId="1" xfId="0" quotePrefix="1" applyNumberFormat="1" applyFont="1" applyFill="1" applyBorder="1" applyAlignment="1">
      <alignment horizontal="justify" vertical="center" wrapText="1"/>
    </xf>
    <xf numFmtId="0" fontId="17" fillId="0" borderId="1" xfId="0" applyFont="1" applyFill="1" applyBorder="1" applyAlignment="1">
      <alignment horizontal="justify" vertical="center" wrapText="1"/>
    </xf>
    <xf numFmtId="164" fontId="3" fillId="2" borderId="0" xfId="2" applyFont="1" applyFill="1"/>
    <xf numFmtId="164" fontId="3" fillId="2" borderId="0" xfId="2" applyFont="1" applyFill="1" applyBorder="1" applyAlignment="1">
      <alignment horizontal="center" vertical="center"/>
    </xf>
    <xf numFmtId="164" fontId="3" fillId="2" borderId="0" xfId="2" applyFont="1" applyFill="1" applyBorder="1"/>
    <xf numFmtId="164" fontId="6" fillId="2" borderId="0" xfId="2" applyFont="1" applyFill="1" applyBorder="1" applyAlignment="1">
      <alignment horizontal="center" vertical="center"/>
    </xf>
    <xf numFmtId="4" fontId="3" fillId="4" borderId="0" xfId="0" applyNumberFormat="1" applyFont="1" applyFill="1"/>
    <xf numFmtId="164" fontId="3" fillId="5" borderId="0" xfId="2" applyFont="1" applyFill="1"/>
    <xf numFmtId="4" fontId="3" fillId="0" borderId="0" xfId="0" applyNumberFormat="1" applyFont="1" applyFill="1"/>
    <xf numFmtId="4" fontId="3" fillId="0" borderId="0" xfId="2" applyNumberFormat="1" applyFont="1" applyFill="1"/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quotePrefix="1" applyNumberFormat="1" applyFont="1" applyFill="1" applyBorder="1" applyAlignment="1">
      <alignment horizontal="justify" vertical="center" wrapText="1"/>
    </xf>
    <xf numFmtId="164" fontId="3" fillId="0" borderId="0" xfId="2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justify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justify" vertical="center" wrapText="1"/>
    </xf>
    <xf numFmtId="0" fontId="4" fillId="0" borderId="1" xfId="0" applyNumberFormat="1" applyFont="1" applyFill="1" applyBorder="1" applyAlignment="1">
      <alignment horizontal="justify" vertical="center" wrapText="1"/>
    </xf>
    <xf numFmtId="0" fontId="3" fillId="0" borderId="1" xfId="0" applyNumberFormat="1" applyFont="1" applyFill="1" applyBorder="1" applyAlignment="1">
      <alignment horizontal="justify" vertical="center" wrapText="1"/>
    </xf>
    <xf numFmtId="0" fontId="4" fillId="0" borderId="4" xfId="0" quotePrefix="1" applyNumberFormat="1" applyFont="1" applyFill="1" applyBorder="1" applyAlignment="1">
      <alignment horizontal="left" vertical="center" wrapText="1"/>
    </xf>
    <xf numFmtId="0" fontId="4" fillId="0" borderId="1" xfId="0" quotePrefix="1" applyNumberFormat="1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top" wrapText="1"/>
    </xf>
    <xf numFmtId="1" fontId="3" fillId="2" borderId="1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wrapText="1"/>
    </xf>
    <xf numFmtId="49" fontId="10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164" fontId="10" fillId="2" borderId="1" xfId="2" applyFont="1" applyFill="1" applyBorder="1" applyAlignment="1">
      <alignment horizontal="center" vertical="center"/>
    </xf>
    <xf numFmtId="0" fontId="4" fillId="2" borderId="1" xfId="0" applyFont="1" applyFill="1" applyBorder="1"/>
    <xf numFmtId="0" fontId="13" fillId="2" borderId="1" xfId="0" applyFont="1" applyFill="1" applyBorder="1" applyAlignment="1">
      <alignment horizontal="justify" vertical="center" wrapText="1"/>
    </xf>
    <xf numFmtId="0" fontId="4" fillId="2" borderId="1" xfId="0" applyNumberFormat="1" applyFont="1" applyFill="1" applyBorder="1" applyAlignment="1">
      <alignment horizontal="justify" vertical="center" wrapText="1"/>
    </xf>
    <xf numFmtId="0" fontId="6" fillId="2" borderId="1" xfId="0" applyFont="1" applyFill="1" applyBorder="1" applyAlignment="1">
      <alignment horizontal="justify" vertical="center"/>
    </xf>
    <xf numFmtId="49" fontId="13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vertical="center" wrapText="1" shrinkToFit="1"/>
    </xf>
    <xf numFmtId="0" fontId="16" fillId="2" borderId="1" xfId="0" applyFont="1" applyFill="1" applyBorder="1" applyAlignment="1">
      <alignment vertical="center"/>
    </xf>
    <xf numFmtId="2" fontId="6" fillId="2" borderId="1" xfId="0" applyNumberFormat="1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justify" vertical="center"/>
    </xf>
    <xf numFmtId="0" fontId="3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wrapText="1"/>
    </xf>
    <xf numFmtId="164" fontId="6" fillId="2" borderId="1" xfId="2" applyFont="1" applyFill="1" applyBorder="1" applyAlignment="1">
      <alignment horizontal="center" vertical="center"/>
    </xf>
    <xf numFmtId="0" fontId="4" fillId="2" borderId="1" xfId="0" quotePrefix="1" applyNumberFormat="1" applyFont="1" applyFill="1" applyBorder="1" applyAlignment="1">
      <alignment horizontal="left" vertical="top" wrapText="1"/>
    </xf>
    <xf numFmtId="0" fontId="7" fillId="2" borderId="2" xfId="0" quotePrefix="1" applyNumberFormat="1" applyFont="1" applyFill="1" applyBorder="1" applyAlignment="1">
      <alignment horizontal="justify" vertical="center" wrapText="1"/>
    </xf>
    <xf numFmtId="0" fontId="16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wrapText="1"/>
    </xf>
    <xf numFmtId="0" fontId="3" fillId="2" borderId="1" xfId="0" applyNumberFormat="1" applyFont="1" applyFill="1" applyBorder="1" applyAlignment="1">
      <alignment horizontal="justify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6" fillId="2" borderId="1" xfId="0" applyNumberFormat="1" applyFont="1" applyFill="1" applyBorder="1" applyAlignment="1">
      <alignment horizontal="justify" vertical="center" wrapText="1"/>
    </xf>
    <xf numFmtId="49" fontId="6" fillId="2" borderId="1" xfId="0" applyNumberFormat="1" applyFont="1" applyFill="1" applyBorder="1" applyAlignment="1">
      <alignment horizontal="justify" vertical="center" wrapText="1"/>
    </xf>
    <xf numFmtId="0" fontId="7" fillId="2" borderId="1" xfId="0" applyNumberFormat="1" applyFont="1" applyFill="1" applyBorder="1" applyAlignment="1">
      <alignment horizontal="justify" vertical="center" wrapText="1"/>
    </xf>
    <xf numFmtId="0" fontId="20" fillId="2" borderId="1" xfId="0" applyFont="1" applyFill="1" applyBorder="1" applyAlignment="1">
      <alignment horizontal="center" vertical="center"/>
    </xf>
    <xf numFmtId="0" fontId="7" fillId="2" borderId="1" xfId="0" quotePrefix="1" applyNumberFormat="1" applyFont="1" applyFill="1" applyBorder="1" applyAlignment="1">
      <alignment horizontal="justify" vertical="center" wrapText="1"/>
    </xf>
    <xf numFmtId="49" fontId="20" fillId="2" borderId="1" xfId="0" applyNumberFormat="1" applyFont="1" applyFill="1" applyBorder="1" applyAlignment="1">
      <alignment horizontal="center" vertical="center"/>
    </xf>
    <xf numFmtId="0" fontId="4" fillId="2" borderId="2" xfId="0" quotePrefix="1" applyNumberFormat="1" applyFont="1" applyFill="1" applyBorder="1" applyAlignment="1">
      <alignment horizontal="left" vertical="top" wrapText="1"/>
    </xf>
    <xf numFmtId="0" fontId="3" fillId="2" borderId="0" xfId="0" applyFont="1" applyFill="1" applyAlignment="1">
      <alignment wrapText="1"/>
    </xf>
    <xf numFmtId="2" fontId="6" fillId="0" borderId="7" xfId="0" applyNumberFormat="1" applyFont="1" applyFill="1" applyBorder="1" applyAlignment="1">
      <alignment horizontal="center" vertical="center"/>
    </xf>
    <xf numFmtId="0" fontId="3" fillId="0" borderId="0" xfId="0" applyFont="1" applyFill="1" applyBorder="1"/>
    <xf numFmtId="2" fontId="4" fillId="2" borderId="0" xfId="0" applyNumberFormat="1" applyFont="1" applyFill="1" applyAlignment="1">
      <alignment wrapText="1"/>
    </xf>
    <xf numFmtId="2" fontId="20" fillId="2" borderId="0" xfId="0" applyNumberFormat="1" applyFont="1" applyFill="1" applyAlignment="1">
      <alignment wrapText="1"/>
    </xf>
    <xf numFmtId="0" fontId="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justify" vertical="center" wrapText="1"/>
    </xf>
    <xf numFmtId="0" fontId="3" fillId="2" borderId="0" xfId="0" applyFont="1" applyFill="1"/>
    <xf numFmtId="0" fontId="3" fillId="2" borderId="6" xfId="0" applyFont="1" applyFill="1" applyBorder="1"/>
    <xf numFmtId="4" fontId="3" fillId="2" borderId="0" xfId="0" applyNumberFormat="1" applyFont="1" applyFill="1"/>
    <xf numFmtId="2" fontId="3" fillId="0" borderId="1" xfId="0" applyNumberFormat="1" applyFont="1" applyFill="1" applyBorder="1" applyAlignment="1">
      <alignment horizontal="center" vertical="center"/>
    </xf>
    <xf numFmtId="4" fontId="3" fillId="6" borderId="0" xfId="0" applyNumberFormat="1" applyFont="1" applyFill="1"/>
    <xf numFmtId="164" fontId="3" fillId="6" borderId="0" xfId="2" applyFont="1" applyFill="1"/>
    <xf numFmtId="164" fontId="3" fillId="2" borderId="1" xfId="2" applyFont="1" applyFill="1" applyBorder="1" applyAlignment="1">
      <alignment horizontal="center"/>
    </xf>
    <xf numFmtId="43" fontId="3" fillId="6" borderId="0" xfId="2" applyNumberFormat="1" applyFont="1" applyFill="1"/>
    <xf numFmtId="164" fontId="6" fillId="7" borderId="0" xfId="2" applyFont="1" applyFill="1"/>
    <xf numFmtId="164" fontId="3" fillId="8" borderId="0" xfId="2" applyFont="1" applyFill="1"/>
    <xf numFmtId="4" fontId="3" fillId="8" borderId="0" xfId="0" applyNumberFormat="1" applyFont="1" applyFill="1"/>
    <xf numFmtId="0" fontId="12" fillId="0" borderId="1" xfId="0" quotePrefix="1" applyNumberFormat="1" applyFont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/>
    </xf>
    <xf numFmtId="164" fontId="3" fillId="0" borderId="3" xfId="2" applyFont="1" applyFill="1" applyBorder="1" applyAlignment="1">
      <alignment horizontal="center" vertical="center"/>
    </xf>
    <xf numFmtId="164" fontId="3" fillId="0" borderId="4" xfId="2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left" vertical="center" wrapText="1"/>
    </xf>
    <xf numFmtId="0" fontId="4" fillId="0" borderId="4" xfId="0" applyNumberFormat="1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justify" vertical="center" wrapText="1"/>
    </xf>
    <xf numFmtId="0" fontId="4" fillId="0" borderId="4" xfId="0" applyNumberFormat="1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justify" vertical="center" wrapText="1"/>
    </xf>
    <xf numFmtId="0" fontId="13" fillId="0" borderId="3" xfId="0" applyFont="1" applyFill="1" applyBorder="1" applyAlignment="1">
      <alignment horizontal="justify" vertical="center" wrapText="1"/>
    </xf>
    <xf numFmtId="0" fontId="13" fillId="0" borderId="5" xfId="0" applyFont="1" applyFill="1" applyBorder="1" applyAlignment="1">
      <alignment horizontal="justify" vertical="center" wrapText="1"/>
    </xf>
    <xf numFmtId="0" fontId="13" fillId="0" borderId="4" xfId="0" applyFont="1" applyFill="1" applyBorder="1" applyAlignment="1">
      <alignment horizontal="justify" vertical="center" wrapText="1"/>
    </xf>
    <xf numFmtId="0" fontId="3" fillId="0" borderId="5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justify" vertical="center" wrapText="1"/>
    </xf>
    <xf numFmtId="0" fontId="6" fillId="0" borderId="4" xfId="0" applyFont="1" applyFill="1" applyBorder="1" applyAlignment="1">
      <alignment horizontal="justify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justify" vertical="center" wrapText="1"/>
    </xf>
    <xf numFmtId="2" fontId="6" fillId="0" borderId="1" xfId="0" applyNumberFormat="1" applyFont="1" applyFill="1" applyBorder="1" applyAlignment="1">
      <alignment horizontal="justify" vertical="center" wrapText="1"/>
    </xf>
    <xf numFmtId="0" fontId="4" fillId="0" borderId="1" xfId="0" quotePrefix="1" applyNumberFormat="1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49" fontId="14" fillId="0" borderId="3" xfId="0" applyNumberFormat="1" applyFont="1" applyFill="1" applyBorder="1" applyAlignment="1">
      <alignment horizontal="center" vertical="center"/>
    </xf>
    <xf numFmtId="49" fontId="14" fillId="0" borderId="4" xfId="0" applyNumberFormat="1" applyFont="1" applyFill="1" applyBorder="1" applyAlignment="1">
      <alignment horizontal="center" vertical="center"/>
    </xf>
    <xf numFmtId="164" fontId="14" fillId="0" borderId="3" xfId="2" applyFont="1" applyFill="1" applyBorder="1" applyAlignment="1">
      <alignment horizontal="center" vertical="center"/>
    </xf>
    <xf numFmtId="164" fontId="14" fillId="0" borderId="4" xfId="2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justify" vertical="center" wrapText="1"/>
    </xf>
    <xf numFmtId="0" fontId="3" fillId="0" borderId="4" xfId="0" applyFont="1" applyFill="1" applyBorder="1" applyAlignment="1">
      <alignment horizontal="justify" vertical="center" wrapText="1"/>
    </xf>
    <xf numFmtId="0" fontId="4" fillId="0" borderId="3" xfId="0" quotePrefix="1" applyNumberFormat="1" applyFont="1" applyFill="1" applyBorder="1" applyAlignment="1">
      <alignment horizontal="justify" vertical="center" wrapText="1"/>
    </xf>
    <xf numFmtId="0" fontId="4" fillId="0" borderId="4" xfId="0" quotePrefix="1" applyNumberFormat="1" applyFont="1" applyFill="1" applyBorder="1" applyAlignment="1">
      <alignment horizontal="justify" vertical="center" wrapText="1"/>
    </xf>
    <xf numFmtId="0" fontId="3" fillId="0" borderId="3" xfId="0" applyNumberFormat="1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justify" vertical="center" wrapText="1"/>
    </xf>
    <xf numFmtId="0" fontId="3" fillId="0" borderId="1" xfId="0" applyNumberFormat="1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8" fillId="0" borderId="0" xfId="0" applyFont="1" applyFill="1" applyAlignment="1">
      <alignment horizontal="center" vertical="top" wrapText="1"/>
    </xf>
    <xf numFmtId="0" fontId="15" fillId="0" borderId="1" xfId="0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0" fontId="4" fillId="0" borderId="3" xfId="0" quotePrefix="1" applyNumberFormat="1" applyFont="1" applyFill="1" applyBorder="1" applyAlignment="1">
      <alignment horizontal="left" vertical="center" wrapText="1"/>
    </xf>
    <xf numFmtId="0" fontId="4" fillId="0" borderId="5" xfId="0" quotePrefix="1" applyNumberFormat="1" applyFont="1" applyFill="1" applyBorder="1" applyAlignment="1">
      <alignment horizontal="left" vertical="center" wrapText="1"/>
    </xf>
    <xf numFmtId="0" fontId="4" fillId="0" borderId="4" xfId="0" quotePrefix="1" applyNumberFormat="1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64" fontId="14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164" fontId="15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justify" wrapText="1"/>
    </xf>
    <xf numFmtId="0" fontId="4" fillId="0" borderId="1" xfId="0" quotePrefix="1" applyNumberFormat="1" applyFont="1" applyFill="1" applyBorder="1" applyAlignment="1">
      <alignment horizontal="justify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68"/>
  <sheetViews>
    <sheetView topLeftCell="A49" zoomScaleNormal="100" workbookViewId="0">
      <selection activeCell="H19" sqref="H19"/>
    </sheetView>
  </sheetViews>
  <sheetFormatPr defaultColWidth="34" defaultRowHeight="15.75"/>
  <cols>
    <col min="1" max="1" width="8.140625" style="13" customWidth="1"/>
    <col min="2" max="2" width="58" style="9" customWidth="1"/>
    <col min="3" max="3" width="11.28515625" style="13" customWidth="1"/>
    <col min="4" max="4" width="17.140625" style="13" customWidth="1"/>
    <col min="5" max="5" width="17.28515625" style="13" customWidth="1"/>
    <col min="6" max="6" width="19.140625" style="13" customWidth="1"/>
    <col min="7" max="16384" width="34" style="13"/>
  </cols>
  <sheetData>
    <row r="1" spans="1:6">
      <c r="E1" s="17" t="s">
        <v>447</v>
      </c>
      <c r="F1" s="18"/>
    </row>
    <row r="2" spans="1:6">
      <c r="E2" s="19" t="s">
        <v>152</v>
      </c>
      <c r="F2" s="18"/>
    </row>
    <row r="3" spans="1:6">
      <c r="E3" s="19" t="s">
        <v>246</v>
      </c>
      <c r="F3" s="18"/>
    </row>
    <row r="4" spans="1:6">
      <c r="E4" s="19" t="s">
        <v>448</v>
      </c>
      <c r="F4" s="18"/>
    </row>
    <row r="5" spans="1:6">
      <c r="E5" s="19"/>
      <c r="F5" s="18"/>
    </row>
    <row r="6" spans="1:6">
      <c r="E6" s="17" t="s">
        <v>447</v>
      </c>
      <c r="F6" s="18"/>
    </row>
    <row r="7" spans="1:6">
      <c r="E7" s="19" t="s">
        <v>152</v>
      </c>
      <c r="F7" s="18"/>
    </row>
    <row r="8" spans="1:6">
      <c r="E8" s="19" t="s">
        <v>246</v>
      </c>
      <c r="F8" s="18"/>
    </row>
    <row r="9" spans="1:6">
      <c r="E9" s="19" t="s">
        <v>608</v>
      </c>
      <c r="F9" s="18"/>
    </row>
    <row r="10" spans="1:6">
      <c r="E10" s="19"/>
      <c r="F10" s="18"/>
    </row>
    <row r="11" spans="1:6" ht="60.75" customHeight="1">
      <c r="A11" s="342" t="s">
        <v>517</v>
      </c>
      <c r="B11" s="342"/>
      <c r="C11" s="342"/>
      <c r="D11" s="342"/>
      <c r="E11" s="342"/>
      <c r="F11" s="342"/>
    </row>
    <row r="12" spans="1:6">
      <c r="A12" s="7"/>
      <c r="B12" s="10"/>
      <c r="C12" s="8"/>
      <c r="D12" s="8"/>
      <c r="E12" s="8"/>
    </row>
    <row r="13" spans="1:6">
      <c r="A13" s="2"/>
      <c r="B13" s="11"/>
      <c r="C13" s="3"/>
      <c r="D13" s="4"/>
      <c r="F13" s="4" t="s">
        <v>520</v>
      </c>
    </row>
    <row r="14" spans="1:6" ht="31.5">
      <c r="A14" s="5" t="s">
        <v>0</v>
      </c>
      <c r="B14" s="12" t="s">
        <v>84</v>
      </c>
      <c r="C14" s="6" t="s">
        <v>3</v>
      </c>
      <c r="D14" s="1" t="s">
        <v>518</v>
      </c>
      <c r="E14" s="1" t="s">
        <v>475</v>
      </c>
      <c r="F14" s="1" t="s">
        <v>519</v>
      </c>
    </row>
    <row r="15" spans="1:6">
      <c r="A15" s="97"/>
      <c r="B15" s="5" t="s">
        <v>6</v>
      </c>
      <c r="C15" s="98" t="s">
        <v>7</v>
      </c>
      <c r="D15" s="98" t="s">
        <v>9</v>
      </c>
      <c r="E15" s="98" t="s">
        <v>10</v>
      </c>
      <c r="F15" s="158"/>
    </row>
    <row r="16" spans="1:6" ht="24.75" customHeight="1">
      <c r="A16" s="99">
        <v>1</v>
      </c>
      <c r="B16" s="100" t="s">
        <v>85</v>
      </c>
      <c r="C16" s="101" t="s">
        <v>86</v>
      </c>
      <c r="D16" s="102">
        <f t="shared" ref="D16:E16" si="0">D17+D18+D19+D21+D22+D23+D20</f>
        <v>189729540.90999997</v>
      </c>
      <c r="E16" s="102">
        <f t="shared" si="0"/>
        <v>168933513.11000001</v>
      </c>
      <c r="F16" s="102">
        <f t="shared" ref="F16" si="1">F17+F18+F19+F21+F22+F23+F20</f>
        <v>168539286.11000001</v>
      </c>
    </row>
    <row r="17" spans="1:6" ht="36" customHeight="1">
      <c r="A17" s="99">
        <v>2</v>
      </c>
      <c r="B17" s="103" t="s">
        <v>87</v>
      </c>
      <c r="C17" s="104" t="s">
        <v>88</v>
      </c>
      <c r="D17" s="105">
        <f>'приложение 4'!G128</f>
        <v>2019588.88</v>
      </c>
      <c r="E17" s="105">
        <f>'приложение 4'!H128</f>
        <v>2464199.7799999998</v>
      </c>
      <c r="F17" s="105">
        <f>'приложение 4'!I128</f>
        <v>2464199.7799999998</v>
      </c>
    </row>
    <row r="18" spans="1:6" ht="53.25" customHeight="1">
      <c r="A18" s="99">
        <v>3</v>
      </c>
      <c r="B18" s="103" t="s">
        <v>89</v>
      </c>
      <c r="C18" s="104" t="s">
        <v>90</v>
      </c>
      <c r="D18" s="105">
        <f>'приложение 4'!G705</f>
        <v>7029019.8199999994</v>
      </c>
      <c r="E18" s="105">
        <f>'приложение 4'!H705</f>
        <v>8029741.9500000002</v>
      </c>
      <c r="F18" s="105">
        <f>'приложение 4'!I705</f>
        <v>8029741.9500000002</v>
      </c>
    </row>
    <row r="19" spans="1:6" ht="63">
      <c r="A19" s="99">
        <v>4</v>
      </c>
      <c r="B19" s="103" t="s">
        <v>17</v>
      </c>
      <c r="C19" s="104" t="s">
        <v>91</v>
      </c>
      <c r="D19" s="105">
        <f>'приложение 4'!G134</f>
        <v>46821078.600000001</v>
      </c>
      <c r="E19" s="105">
        <f>'приложение 4'!H134</f>
        <v>40547964.570000008</v>
      </c>
      <c r="F19" s="105">
        <f>'приложение 4'!I134</f>
        <v>40547964.570000008</v>
      </c>
    </row>
    <row r="20" spans="1:6">
      <c r="A20" s="99">
        <v>5</v>
      </c>
      <c r="B20" s="106" t="s">
        <v>157</v>
      </c>
      <c r="C20" s="104" t="s">
        <v>160</v>
      </c>
      <c r="D20" s="105">
        <f>'приложение 4'!G152</f>
        <v>6000</v>
      </c>
      <c r="E20" s="105">
        <f>'приложение 4'!H152</f>
        <v>6200</v>
      </c>
      <c r="F20" s="105">
        <f>'приложение 4'!I152</f>
        <v>53900</v>
      </c>
    </row>
    <row r="21" spans="1:6" ht="47.25">
      <c r="A21" s="99">
        <v>6</v>
      </c>
      <c r="B21" s="103" t="s">
        <v>12</v>
      </c>
      <c r="C21" s="104" t="s">
        <v>92</v>
      </c>
      <c r="D21" s="105">
        <f>'приложение 4'!G19+'приложение 4'!G687</f>
        <v>25046869.399999999</v>
      </c>
      <c r="E21" s="105">
        <f>'приложение 4'!H19+'приложение 4'!H688</f>
        <v>23331493.399999999</v>
      </c>
      <c r="F21" s="105">
        <f>'приложение 4'!I19+'приложение 4'!I688</f>
        <v>22903282.399999999</v>
      </c>
    </row>
    <row r="22" spans="1:6">
      <c r="A22" s="99">
        <v>7</v>
      </c>
      <c r="B22" s="103" t="s">
        <v>31</v>
      </c>
      <c r="C22" s="104" t="s">
        <v>93</v>
      </c>
      <c r="D22" s="105">
        <f>'приложение 4'!G158</f>
        <v>4380000</v>
      </c>
      <c r="E22" s="105">
        <f>'приложение 4'!H158</f>
        <v>150000</v>
      </c>
      <c r="F22" s="105">
        <f>'приложение 4'!I158</f>
        <v>150000</v>
      </c>
    </row>
    <row r="23" spans="1:6">
      <c r="A23" s="99">
        <v>8</v>
      </c>
      <c r="B23" s="103" t="s">
        <v>35</v>
      </c>
      <c r="C23" s="104" t="s">
        <v>94</v>
      </c>
      <c r="D23" s="105">
        <f>'приложение 4'!G159+'приложение 4'!G383+'приложение 4'!G400+'приложение 4'!G417+'приложение 4'!G33</f>
        <v>104426984.20999999</v>
      </c>
      <c r="E23" s="105">
        <f>'приложение 4'!H159+'приложение 4'!H383+'приложение 4'!H400+'приложение 4'!H417+'приложение 4'!H33</f>
        <v>94403913.409999996</v>
      </c>
      <c r="F23" s="105">
        <f>'приложение 4'!I159+'приложение 4'!I383+'приложение 4'!I400+'приложение 4'!I417+'приложение 4'!I33</f>
        <v>94390197.409999996</v>
      </c>
    </row>
    <row r="24" spans="1:6" ht="29.25" customHeight="1">
      <c r="A24" s="99">
        <v>9</v>
      </c>
      <c r="B24" s="100" t="s">
        <v>95</v>
      </c>
      <c r="C24" s="101" t="s">
        <v>96</v>
      </c>
      <c r="D24" s="108">
        <f t="shared" ref="D24:F24" si="2">D25</f>
        <v>2955800</v>
      </c>
      <c r="E24" s="108">
        <f t="shared" si="2"/>
        <v>3294200</v>
      </c>
      <c r="F24" s="108">
        <f t="shared" si="2"/>
        <v>3638300</v>
      </c>
    </row>
    <row r="25" spans="1:6">
      <c r="A25" s="99">
        <v>10</v>
      </c>
      <c r="B25" s="103" t="s">
        <v>22</v>
      </c>
      <c r="C25" s="104" t="s">
        <v>97</v>
      </c>
      <c r="D25" s="105">
        <f>'приложение 4'!G40</f>
        <v>2955800</v>
      </c>
      <c r="E25" s="105">
        <f>'приложение 4'!H40</f>
        <v>3294200</v>
      </c>
      <c r="F25" s="105">
        <f>'приложение 4'!I40</f>
        <v>3638300</v>
      </c>
    </row>
    <row r="26" spans="1:6" ht="35.25" customHeight="1">
      <c r="A26" s="99">
        <v>11</v>
      </c>
      <c r="B26" s="109" t="s">
        <v>98</v>
      </c>
      <c r="C26" s="101" t="s">
        <v>99</v>
      </c>
      <c r="D26" s="110">
        <f t="shared" ref="D26:F26" si="3">D27</f>
        <v>10855584.720000001</v>
      </c>
      <c r="E26" s="110">
        <f t="shared" si="3"/>
        <v>8967481.1600000001</v>
      </c>
      <c r="F26" s="110">
        <f t="shared" si="3"/>
        <v>8922481.1600000001</v>
      </c>
    </row>
    <row r="27" spans="1:6" ht="47.25">
      <c r="A27" s="99">
        <v>12</v>
      </c>
      <c r="B27" s="66" t="s">
        <v>74</v>
      </c>
      <c r="C27" s="130" t="s">
        <v>379</v>
      </c>
      <c r="D27" s="105">
        <f>'приложение 4'!G368+'приложение 4'!G196+'приложение 4'!G47</f>
        <v>10855584.720000001</v>
      </c>
      <c r="E27" s="105">
        <f>'приложение 4'!H368+'приложение 4'!H196+'приложение 4'!H47</f>
        <v>8967481.1600000001</v>
      </c>
      <c r="F27" s="105">
        <f>'приложение 4'!I368+'приложение 4'!I196+'приложение 4'!I47</f>
        <v>8922481.1600000001</v>
      </c>
    </row>
    <row r="28" spans="1:6" ht="33.75" customHeight="1">
      <c r="A28" s="99">
        <v>13</v>
      </c>
      <c r="B28" s="100" t="s">
        <v>100</v>
      </c>
      <c r="C28" s="101" t="s">
        <v>101</v>
      </c>
      <c r="D28" s="111">
        <f t="shared" ref="D28:E28" si="4">D29+D30+D31+D32+D34+D33</f>
        <v>61609986.730000004</v>
      </c>
      <c r="E28" s="111">
        <f t="shared" si="4"/>
        <v>58311852.159999996</v>
      </c>
      <c r="F28" s="111">
        <f t="shared" ref="F28" si="5">F29+F30+F31+F32+F34+F33</f>
        <v>58322352.159999996</v>
      </c>
    </row>
    <row r="29" spans="1:6">
      <c r="A29" s="99">
        <v>14</v>
      </c>
      <c r="B29" s="103" t="s">
        <v>102</v>
      </c>
      <c r="C29" s="104" t="s">
        <v>103</v>
      </c>
      <c r="D29" s="105">
        <f>'приложение 4'!G54+'приложение 4'!G216</f>
        <v>446900</v>
      </c>
      <c r="E29" s="105">
        <f>'приложение 4'!H54+'приложение 4'!H216</f>
        <v>230000</v>
      </c>
      <c r="F29" s="105">
        <f>'приложение 4'!I54+'приложение 4'!I216</f>
        <v>230000</v>
      </c>
    </row>
    <row r="30" spans="1:6">
      <c r="A30" s="99">
        <v>15</v>
      </c>
      <c r="B30" s="103" t="s">
        <v>41</v>
      </c>
      <c r="C30" s="104" t="s">
        <v>104</v>
      </c>
      <c r="D30" s="105">
        <f>'приложение 4'!G224</f>
        <v>1147100</v>
      </c>
      <c r="E30" s="105">
        <f>'приложение 4'!H225</f>
        <v>1062700</v>
      </c>
      <c r="F30" s="105">
        <f>'приложение 4'!I225</f>
        <v>1062700</v>
      </c>
    </row>
    <row r="31" spans="1:6">
      <c r="A31" s="99">
        <v>16</v>
      </c>
      <c r="B31" s="103" t="s">
        <v>40</v>
      </c>
      <c r="C31" s="104" t="s">
        <v>105</v>
      </c>
      <c r="D31" s="105">
        <f>'приложение 4'!G232</f>
        <v>30472143.210000001</v>
      </c>
      <c r="E31" s="105">
        <f>'приложение 4'!H233</f>
        <v>31124225.43</v>
      </c>
      <c r="F31" s="105">
        <f>'приложение 4'!I233</f>
        <v>31124225.43</v>
      </c>
    </row>
    <row r="32" spans="1:6">
      <c r="A32" s="99">
        <v>17</v>
      </c>
      <c r="B32" s="103" t="s">
        <v>106</v>
      </c>
      <c r="C32" s="104" t="s">
        <v>107</v>
      </c>
      <c r="D32" s="105">
        <f>'приложение 4'!G60+'приложение 4'!G245</f>
        <v>25288203.520000003</v>
      </c>
      <c r="E32" s="105">
        <f>'приложение 4'!H60+'приложение 4'!H246</f>
        <v>25096126.73</v>
      </c>
      <c r="F32" s="105">
        <f>'приложение 4'!I60+'приложение 4'!I246</f>
        <v>25106626.73</v>
      </c>
    </row>
    <row r="33" spans="1:6">
      <c r="A33" s="99">
        <v>18</v>
      </c>
      <c r="B33" s="106" t="s">
        <v>268</v>
      </c>
      <c r="C33" s="104" t="s">
        <v>269</v>
      </c>
      <c r="D33" s="105">
        <v>0</v>
      </c>
      <c r="E33" s="105">
        <v>0</v>
      </c>
      <c r="F33" s="105">
        <v>0</v>
      </c>
    </row>
    <row r="34" spans="1:6">
      <c r="A34" s="99">
        <v>19</v>
      </c>
      <c r="B34" s="103" t="s">
        <v>47</v>
      </c>
      <c r="C34" s="104" t="s">
        <v>108</v>
      </c>
      <c r="D34" s="105">
        <f>'приложение 4'!G251</f>
        <v>4255640</v>
      </c>
      <c r="E34" s="105">
        <f>'приложение 4'!H252</f>
        <v>798800</v>
      </c>
      <c r="F34" s="105">
        <f>'приложение 4'!I252</f>
        <v>798800</v>
      </c>
    </row>
    <row r="35" spans="1:6" ht="34.5" customHeight="1">
      <c r="A35" s="99">
        <v>20</v>
      </c>
      <c r="B35" s="100" t="s">
        <v>109</v>
      </c>
      <c r="C35" s="101" t="s">
        <v>110</v>
      </c>
      <c r="D35" s="108">
        <f t="shared" ref="D35:F35" si="6">D37+D36+D39+D38</f>
        <v>77918120</v>
      </c>
      <c r="E35" s="108">
        <f t="shared" si="6"/>
        <v>72850300</v>
      </c>
      <c r="F35" s="108">
        <f t="shared" si="6"/>
        <v>72850300</v>
      </c>
    </row>
    <row r="36" spans="1:6" ht="34.5" customHeight="1">
      <c r="A36" s="99">
        <v>21</v>
      </c>
      <c r="B36" s="106" t="s">
        <v>371</v>
      </c>
      <c r="C36" s="107" t="s">
        <v>372</v>
      </c>
      <c r="D36" s="105">
        <f>'приложение 4'!G269</f>
        <v>190300</v>
      </c>
      <c r="E36" s="105">
        <f>'приложение 4'!H269</f>
        <v>190300</v>
      </c>
      <c r="F36" s="105">
        <f>'приложение 4'!I269</f>
        <v>190300</v>
      </c>
    </row>
    <row r="37" spans="1:6">
      <c r="A37" s="99">
        <v>22</v>
      </c>
      <c r="B37" s="103" t="s">
        <v>111</v>
      </c>
      <c r="C37" s="104" t="s">
        <v>112</v>
      </c>
      <c r="D37" s="105">
        <f>'приложение 4'!G277+'приложение 4'!G68</f>
        <v>77727820</v>
      </c>
      <c r="E37" s="105">
        <f>'приложение 4'!H278</f>
        <v>72660000</v>
      </c>
      <c r="F37" s="105">
        <f>'приложение 4'!I278</f>
        <v>72660000</v>
      </c>
    </row>
    <row r="38" spans="1:6">
      <c r="A38" s="99">
        <v>23</v>
      </c>
      <c r="B38" s="106" t="s">
        <v>445</v>
      </c>
      <c r="C38" s="104" t="s">
        <v>446</v>
      </c>
      <c r="D38" s="105"/>
      <c r="E38" s="105">
        <v>0</v>
      </c>
      <c r="F38" s="105">
        <v>0</v>
      </c>
    </row>
    <row r="39" spans="1:6" ht="31.5">
      <c r="A39" s="99">
        <v>24</v>
      </c>
      <c r="B39" s="106" t="s">
        <v>402</v>
      </c>
      <c r="C39" s="107" t="s">
        <v>403</v>
      </c>
      <c r="D39" s="105">
        <v>0</v>
      </c>
      <c r="E39" s="105">
        <v>0</v>
      </c>
      <c r="F39" s="105">
        <v>0</v>
      </c>
    </row>
    <row r="40" spans="1:6">
      <c r="A40" s="99">
        <v>25</v>
      </c>
      <c r="B40" s="57" t="s">
        <v>416</v>
      </c>
      <c r="C40" s="112" t="s">
        <v>414</v>
      </c>
      <c r="D40" s="113">
        <f t="shared" ref="D40:E40" si="7">D41+D42</f>
        <v>6864315.1200000001</v>
      </c>
      <c r="E40" s="113">
        <f t="shared" si="7"/>
        <v>5479500</v>
      </c>
      <c r="F40" s="113">
        <f t="shared" ref="F40" si="8">F41+F42</f>
        <v>5479500</v>
      </c>
    </row>
    <row r="41" spans="1:6" ht="30">
      <c r="A41" s="99">
        <v>26</v>
      </c>
      <c r="B41" s="177" t="s">
        <v>417</v>
      </c>
      <c r="C41" s="107" t="s">
        <v>415</v>
      </c>
      <c r="D41" s="105">
        <f>'приложение 4'!G287</f>
        <v>596800</v>
      </c>
      <c r="E41" s="105">
        <f>'приложение 4'!H288</f>
        <v>479500</v>
      </c>
      <c r="F41" s="105">
        <f>'приложение 4'!I288</f>
        <v>479500</v>
      </c>
    </row>
    <row r="42" spans="1:6">
      <c r="A42" s="99">
        <v>27</v>
      </c>
      <c r="B42" s="129" t="s">
        <v>420</v>
      </c>
      <c r="C42" s="107" t="s">
        <v>421</v>
      </c>
      <c r="D42" s="105">
        <f>'приложение 4'!G295+'приложение 4'!G74</f>
        <v>6267515.1200000001</v>
      </c>
      <c r="E42" s="105">
        <f>'приложение 4'!H295+'приложение 4'!H74</f>
        <v>5000000</v>
      </c>
      <c r="F42" s="105">
        <f>'приложение 4'!I295+'приложение 4'!I74</f>
        <v>5000000</v>
      </c>
    </row>
    <row r="43" spans="1:6" ht="31.5" customHeight="1">
      <c r="A43" s="99">
        <v>28</v>
      </c>
      <c r="B43" s="100" t="s">
        <v>113</v>
      </c>
      <c r="C43" s="101" t="s">
        <v>114</v>
      </c>
      <c r="D43" s="108">
        <f t="shared" ref="D43:E43" si="9">D44+D45+D47+D48+D46</f>
        <v>850691658.9000001</v>
      </c>
      <c r="E43" s="108">
        <f t="shared" si="9"/>
        <v>750254110.21000004</v>
      </c>
      <c r="F43" s="108">
        <f t="shared" ref="F43" si="10">F44+F45+F47+F48+F46</f>
        <v>750771815.1500001</v>
      </c>
    </row>
    <row r="44" spans="1:6">
      <c r="A44" s="99">
        <v>29</v>
      </c>
      <c r="B44" s="103" t="s">
        <v>115</v>
      </c>
      <c r="C44" s="104" t="s">
        <v>116</v>
      </c>
      <c r="D44" s="105">
        <f>'приложение 4'!G437</f>
        <v>238136652.20000002</v>
      </c>
      <c r="E44" s="105">
        <f>'приложение 4'!H438</f>
        <v>209000895</v>
      </c>
      <c r="F44" s="105">
        <f>'приложение 4'!I438</f>
        <v>209000895</v>
      </c>
    </row>
    <row r="45" spans="1:6">
      <c r="A45" s="99">
        <v>30</v>
      </c>
      <c r="B45" s="103" t="s">
        <v>65</v>
      </c>
      <c r="C45" s="104" t="s">
        <v>117</v>
      </c>
      <c r="D45" s="105">
        <f>'приложение 4'!G469</f>
        <v>482199644.15000004</v>
      </c>
      <c r="E45" s="105">
        <f>'приложение 4'!H470</f>
        <v>426585297</v>
      </c>
      <c r="F45" s="105">
        <f>'приложение 4'!I470</f>
        <v>427103001.94</v>
      </c>
    </row>
    <row r="46" spans="1:6">
      <c r="A46" s="99">
        <v>31</v>
      </c>
      <c r="B46" s="106" t="s">
        <v>161</v>
      </c>
      <c r="C46" s="104" t="s">
        <v>167</v>
      </c>
      <c r="D46" s="105">
        <f>'приложение 4'!G525+'приложение 4'!G592</f>
        <v>87061229.349999994</v>
      </c>
      <c r="E46" s="105">
        <f>'приложение 4'!H526+'приложение 4'!H593</f>
        <v>76179845.00999999</v>
      </c>
      <c r="F46" s="105">
        <f>'приложение 4'!I526+'приложение 4'!I593</f>
        <v>76179845.00999999</v>
      </c>
    </row>
    <row r="47" spans="1:6">
      <c r="A47" s="99">
        <v>32</v>
      </c>
      <c r="B47" s="103" t="s">
        <v>162</v>
      </c>
      <c r="C47" s="104" t="s">
        <v>118</v>
      </c>
      <c r="D47" s="105">
        <f>'приложение 4'!G601+'приложение 4'!G81</f>
        <v>11451238.199999999</v>
      </c>
      <c r="E47" s="105">
        <f>'приложение 4'!H601+'приложение 4'!H81</f>
        <v>8118577.2000000002</v>
      </c>
      <c r="F47" s="105">
        <f>'приложение 4'!I601+'приложение 4'!I81</f>
        <v>8118577.2000000002</v>
      </c>
    </row>
    <row r="48" spans="1:6">
      <c r="A48" s="99">
        <v>33</v>
      </c>
      <c r="B48" s="103" t="s">
        <v>53</v>
      </c>
      <c r="C48" s="104" t="s">
        <v>119</v>
      </c>
      <c r="D48" s="105">
        <f>'приложение 4'!G551+'приложение 4'!G309</f>
        <v>31842895</v>
      </c>
      <c r="E48" s="105">
        <f>'приложение 4'!H552+'приложение 4'!H310</f>
        <v>30369496</v>
      </c>
      <c r="F48" s="105">
        <f>'приложение 4'!I552+'приложение 4'!I310</f>
        <v>30369496</v>
      </c>
    </row>
    <row r="49" spans="1:6" ht="32.25" customHeight="1">
      <c r="A49" s="99">
        <v>34</v>
      </c>
      <c r="B49" s="100" t="s">
        <v>120</v>
      </c>
      <c r="C49" s="101" t="s">
        <v>121</v>
      </c>
      <c r="D49" s="108">
        <f t="shared" ref="D49:E49" si="11">D50+D51</f>
        <v>90780454.479999989</v>
      </c>
      <c r="E49" s="108">
        <f t="shared" si="11"/>
        <v>83981969.479999989</v>
      </c>
      <c r="F49" s="108">
        <f t="shared" ref="F49" si="12">F50+F51</f>
        <v>60274159.170000002</v>
      </c>
    </row>
    <row r="50" spans="1:6">
      <c r="A50" s="99">
        <v>35</v>
      </c>
      <c r="B50" s="103" t="s">
        <v>68</v>
      </c>
      <c r="C50" s="104" t="s">
        <v>122</v>
      </c>
      <c r="D50" s="105">
        <f>'приложение 4'!G622</f>
        <v>85970066.239999995</v>
      </c>
      <c r="E50" s="105">
        <f>'приложение 4'!H622</f>
        <v>79521639.239999995</v>
      </c>
      <c r="F50" s="105">
        <f>'приложение 4'!I622</f>
        <v>55813828.93</v>
      </c>
    </row>
    <row r="51" spans="1:6">
      <c r="A51" s="99">
        <v>36</v>
      </c>
      <c r="B51" s="103" t="s">
        <v>73</v>
      </c>
      <c r="C51" s="104" t="s">
        <v>123</v>
      </c>
      <c r="D51" s="105">
        <f>'приложение 4'!G660</f>
        <v>4810388.24</v>
      </c>
      <c r="E51" s="105">
        <f>'приложение 4'!H660</f>
        <v>4460330.24</v>
      </c>
      <c r="F51" s="105">
        <f>'приложение 4'!I660</f>
        <v>4460330.24</v>
      </c>
    </row>
    <row r="52" spans="1:6" ht="31.5" customHeight="1">
      <c r="A52" s="99">
        <v>37</v>
      </c>
      <c r="B52" s="100" t="s">
        <v>124</v>
      </c>
      <c r="C52" s="101" t="s">
        <v>125</v>
      </c>
      <c r="D52" s="108">
        <f t="shared" ref="D52:E52" si="13">D53+D54+D56+D55</f>
        <v>29625780.920000002</v>
      </c>
      <c r="E52" s="108">
        <f t="shared" si="13"/>
        <v>30380672.5</v>
      </c>
      <c r="F52" s="108">
        <f t="shared" ref="F52" si="14">F53+F54+F56+F55</f>
        <v>30048522.000000004</v>
      </c>
    </row>
    <row r="53" spans="1:6">
      <c r="A53" s="99">
        <v>38</v>
      </c>
      <c r="B53" s="103" t="s">
        <v>76</v>
      </c>
      <c r="C53" s="104" t="s">
        <v>126</v>
      </c>
      <c r="D53" s="105">
        <f>'приложение 4'!G321</f>
        <v>1000000</v>
      </c>
      <c r="E53" s="105">
        <f>'приложение 4'!H322</f>
        <v>1300000</v>
      </c>
      <c r="F53" s="105">
        <f>'приложение 4'!I322</f>
        <v>1300000</v>
      </c>
    </row>
    <row r="54" spans="1:6">
      <c r="A54" s="99">
        <v>39</v>
      </c>
      <c r="B54" s="103" t="s">
        <v>78</v>
      </c>
      <c r="C54" s="104" t="s">
        <v>127</v>
      </c>
      <c r="D54" s="105">
        <f>'приложение 4'!G563+'приложение 4'!G324</f>
        <v>21068440.920000002</v>
      </c>
      <c r="E54" s="105">
        <f>'приложение 4'!H563+'приложение 4'!H324</f>
        <v>21350872.500000004</v>
      </c>
      <c r="F54" s="105">
        <f>'приложение 4'!I563+'приложение 4'!I324</f>
        <v>21174822.000000004</v>
      </c>
    </row>
    <row r="55" spans="1:6">
      <c r="A55" s="99">
        <v>40</v>
      </c>
      <c r="B55" s="106" t="s">
        <v>58</v>
      </c>
      <c r="C55" s="104">
        <v>1004</v>
      </c>
      <c r="D55" s="105">
        <f>'приложение 4'!G582+'приложение 4'!G330</f>
        <v>5869265.4500000002</v>
      </c>
      <c r="E55" s="105">
        <f>'приложение 4'!H582+'приложение 4'!H330</f>
        <v>5856779.3300000001</v>
      </c>
      <c r="F55" s="105">
        <f>'приложение 4'!I582+'приложение 4'!I330</f>
        <v>5700699.3599999994</v>
      </c>
    </row>
    <row r="56" spans="1:6">
      <c r="A56" s="99">
        <v>41</v>
      </c>
      <c r="B56" s="103" t="s">
        <v>79</v>
      </c>
      <c r="C56" s="104" t="s">
        <v>128</v>
      </c>
      <c r="D56" s="114">
        <f>'приложение 4'!G336</f>
        <v>1688074.55</v>
      </c>
      <c r="E56" s="114">
        <f>'приложение 4'!H336</f>
        <v>1873020.67</v>
      </c>
      <c r="F56" s="114">
        <f>'приложение 4'!I336</f>
        <v>1873000.64</v>
      </c>
    </row>
    <row r="57" spans="1:6">
      <c r="A57" s="99">
        <v>42</v>
      </c>
      <c r="B57" s="115" t="s">
        <v>253</v>
      </c>
      <c r="C57" s="116">
        <v>1100</v>
      </c>
      <c r="D57" s="117">
        <f>D58+D59</f>
        <v>169800</v>
      </c>
      <c r="E57" s="117">
        <f t="shared" ref="E57:F57" si="15">E58+E59</f>
        <v>120000</v>
      </c>
      <c r="F57" s="117">
        <f t="shared" si="15"/>
        <v>120000</v>
      </c>
    </row>
    <row r="58" spans="1:6">
      <c r="A58" s="99">
        <v>43</v>
      </c>
      <c r="B58" s="106" t="s">
        <v>249</v>
      </c>
      <c r="C58" s="104">
        <v>1101</v>
      </c>
      <c r="D58" s="114">
        <f>'приложение 4'!G675</f>
        <v>120000</v>
      </c>
      <c r="E58" s="114">
        <f>'приложение 4'!H675</f>
        <v>120000</v>
      </c>
      <c r="F58" s="114">
        <f>'приложение 4'!I675</f>
        <v>120000</v>
      </c>
    </row>
    <row r="59" spans="1:6">
      <c r="A59" s="99">
        <v>44</v>
      </c>
      <c r="B59" s="106" t="s">
        <v>466</v>
      </c>
      <c r="C59" s="104">
        <v>1102</v>
      </c>
      <c r="D59" s="114">
        <f>'приложение 4'!G88</f>
        <v>49800</v>
      </c>
      <c r="E59" s="114">
        <f>'приложение 4'!H88</f>
        <v>0</v>
      </c>
      <c r="F59" s="114">
        <f>'приложение 4'!I88</f>
        <v>0</v>
      </c>
    </row>
    <row r="60" spans="1:6" ht="31.5">
      <c r="A60" s="99">
        <v>45</v>
      </c>
      <c r="B60" s="115" t="s">
        <v>411</v>
      </c>
      <c r="C60" s="116">
        <v>1300</v>
      </c>
      <c r="D60" s="117">
        <f t="shared" ref="D60:F60" si="16">D61</f>
        <v>200000</v>
      </c>
      <c r="E60" s="117">
        <f t="shared" si="16"/>
        <v>200000</v>
      </c>
      <c r="F60" s="117">
        <f t="shared" si="16"/>
        <v>200000</v>
      </c>
    </row>
    <row r="61" spans="1:6">
      <c r="A61" s="99">
        <v>46</v>
      </c>
      <c r="B61" s="106" t="s">
        <v>412</v>
      </c>
      <c r="C61" s="104">
        <v>1301</v>
      </c>
      <c r="D61" s="114">
        <f>'приложение 4'!G94</f>
        <v>200000</v>
      </c>
      <c r="E61" s="114">
        <f>'приложение 4'!H94</f>
        <v>200000</v>
      </c>
      <c r="F61" s="114">
        <f>'приложение 4'!I94</f>
        <v>200000</v>
      </c>
    </row>
    <row r="62" spans="1:6" ht="63">
      <c r="A62" s="99">
        <v>47</v>
      </c>
      <c r="B62" s="100" t="s">
        <v>163</v>
      </c>
      <c r="C62" s="101" t="s">
        <v>129</v>
      </c>
      <c r="D62" s="102">
        <f t="shared" ref="D62:E62" si="17">D63+D64</f>
        <v>161441948.36000001</v>
      </c>
      <c r="E62" s="102">
        <f t="shared" si="17"/>
        <v>139887890.00999999</v>
      </c>
      <c r="F62" s="102">
        <f t="shared" ref="F62" si="18">F63+F64</f>
        <v>139887890.00999999</v>
      </c>
    </row>
    <row r="63" spans="1:6">
      <c r="A63" s="99">
        <v>48</v>
      </c>
      <c r="B63" s="103" t="s">
        <v>164</v>
      </c>
      <c r="C63" s="104" t="s">
        <v>130</v>
      </c>
      <c r="D63" s="114">
        <f>'приложение 4'!G101</f>
        <v>34921997.68</v>
      </c>
      <c r="E63" s="114">
        <f>'приложение 4'!H101</f>
        <v>33446288.27</v>
      </c>
      <c r="F63" s="114">
        <f>'приложение 4'!I101</f>
        <v>33446288.27</v>
      </c>
    </row>
    <row r="64" spans="1:6">
      <c r="A64" s="99">
        <v>49</v>
      </c>
      <c r="B64" s="103" t="s">
        <v>29</v>
      </c>
      <c r="C64" s="104" t="s">
        <v>131</v>
      </c>
      <c r="D64" s="114">
        <f>'приложение 4'!G110</f>
        <v>126519950.68000001</v>
      </c>
      <c r="E64" s="114">
        <f>'приложение 4'!H110</f>
        <v>106441601.73999999</v>
      </c>
      <c r="F64" s="114">
        <f>'приложение 4'!I110</f>
        <v>106441601.73999999</v>
      </c>
    </row>
    <row r="65" spans="1:6">
      <c r="A65" s="99">
        <v>50</v>
      </c>
      <c r="B65" s="103" t="s">
        <v>132</v>
      </c>
      <c r="C65" s="104"/>
      <c r="D65" s="114">
        <f>'приложение 4'!G724</f>
        <v>0</v>
      </c>
      <c r="E65" s="114">
        <f>'приложение 4'!H724</f>
        <v>22582387</v>
      </c>
      <c r="F65" s="114">
        <f>'приложение 4'!I724</f>
        <v>43748000</v>
      </c>
    </row>
    <row r="66" spans="1:6" ht="30.75" customHeight="1">
      <c r="A66" s="341" t="s">
        <v>133</v>
      </c>
      <c r="B66" s="341"/>
      <c r="C66" s="101" t="s">
        <v>134</v>
      </c>
      <c r="D66" s="102">
        <f>D16+D24+D26+D28+D35+D43+D49+D52+D57+D62+D65+D60+D40</f>
        <v>1482842990.1399999</v>
      </c>
      <c r="E66" s="102">
        <f>E16+E24+E26+E28+E35+E43+E49+E52+E57+E62+E65+E60+E40</f>
        <v>1345243875.6300001</v>
      </c>
      <c r="F66" s="102">
        <f>F16+F24+F26+F28+F35+F43+F49+F52+F57+F62+F65+F60+F40</f>
        <v>1342802605.7600002</v>
      </c>
    </row>
    <row r="68" spans="1:6">
      <c r="D68" s="14">
        <f>D66-'приложение 4'!G725</f>
        <v>0</v>
      </c>
      <c r="E68" s="14">
        <f>E66-'приложение 4'!H725</f>
        <v>0</v>
      </c>
      <c r="F68" s="14">
        <f>F66-'приложение 4'!I725</f>
        <v>0</v>
      </c>
    </row>
  </sheetData>
  <mergeCells count="2">
    <mergeCell ref="A66:B66"/>
    <mergeCell ref="A11:F11"/>
  </mergeCells>
  <pageMargins left="0.31496062992125984" right="0.19685039370078741" top="0.74803149606299213" bottom="0.31496062992125984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F733"/>
  <sheetViews>
    <sheetView tabSelected="1" view="pageBreakPreview" topLeftCell="A707" zoomScale="93" zoomScaleNormal="90" zoomScaleSheetLayoutView="93" workbookViewId="0">
      <selection activeCell="J729" sqref="J729"/>
    </sheetView>
  </sheetViews>
  <sheetFormatPr defaultRowHeight="15"/>
  <cols>
    <col min="1" max="1" width="5.5703125" style="54" customWidth="1"/>
    <col min="2" max="2" width="95.140625" style="15" customWidth="1"/>
    <col min="3" max="4" width="11.140625" style="16" customWidth="1"/>
    <col min="5" max="5" width="12.7109375" style="220" customWidth="1"/>
    <col min="6" max="6" width="9.140625" style="16" customWidth="1"/>
    <col min="7" max="7" width="20" style="18" customWidth="1"/>
    <col min="8" max="8" width="20.7109375" style="18" customWidth="1"/>
    <col min="9" max="9" width="20.5703125" style="54" customWidth="1"/>
    <col min="10" max="10" width="17" style="159" bestFit="1" customWidth="1"/>
    <col min="11" max="11" width="18.42578125" style="159" customWidth="1"/>
    <col min="12" max="12" width="17.5703125" style="159" customWidth="1"/>
    <col min="13" max="30" width="9.140625" style="54"/>
    <col min="31" max="16384" width="9.140625" style="13"/>
  </cols>
  <sheetData>
    <row r="1" spans="1:32">
      <c r="A1" s="160"/>
      <c r="H1" s="17" t="s">
        <v>456</v>
      </c>
      <c r="I1" s="18"/>
      <c r="J1" s="18"/>
      <c r="M1" s="330"/>
      <c r="N1" s="330"/>
      <c r="O1" s="330"/>
      <c r="P1" s="330"/>
    </row>
    <row r="2" spans="1:32">
      <c r="H2" s="19" t="s">
        <v>152</v>
      </c>
      <c r="I2" s="18"/>
      <c r="J2" s="18"/>
      <c r="M2" s="330"/>
      <c r="N2" s="330"/>
      <c r="O2" s="330"/>
      <c r="P2" s="330"/>
    </row>
    <row r="3" spans="1:32">
      <c r="H3" s="19" t="s">
        <v>246</v>
      </c>
      <c r="I3" s="18"/>
      <c r="J3" s="18"/>
      <c r="M3" s="330"/>
      <c r="N3" s="330"/>
      <c r="O3" s="330"/>
      <c r="P3" s="330"/>
    </row>
    <row r="4" spans="1:32">
      <c r="F4" s="13"/>
      <c r="G4" s="13"/>
      <c r="H4" s="19" t="s">
        <v>448</v>
      </c>
      <c r="I4" s="18"/>
      <c r="J4" s="18"/>
      <c r="M4" s="330"/>
      <c r="N4" s="330"/>
      <c r="O4" s="330"/>
      <c r="P4" s="330"/>
    </row>
    <row r="5" spans="1:32">
      <c r="F5" s="13"/>
      <c r="G5" s="13"/>
      <c r="H5" s="19"/>
      <c r="I5" s="18"/>
      <c r="J5" s="18"/>
      <c r="M5" s="330"/>
      <c r="N5" s="330"/>
      <c r="O5" s="330"/>
      <c r="P5" s="330"/>
    </row>
    <row r="6" spans="1:32">
      <c r="F6" s="13"/>
      <c r="G6" s="13"/>
      <c r="H6" s="17" t="s">
        <v>456</v>
      </c>
      <c r="I6" s="18"/>
      <c r="J6" s="18"/>
      <c r="M6" s="330"/>
      <c r="N6" s="330"/>
      <c r="O6" s="330"/>
      <c r="P6" s="330"/>
    </row>
    <row r="7" spans="1:32">
      <c r="F7" s="13"/>
      <c r="G7" s="13"/>
      <c r="H7" s="19" t="s">
        <v>152</v>
      </c>
      <c r="I7" s="18"/>
      <c r="J7" s="18"/>
      <c r="M7" s="330"/>
      <c r="N7" s="330"/>
      <c r="O7" s="330"/>
      <c r="P7" s="330"/>
    </row>
    <row r="8" spans="1:32">
      <c r="F8" s="13"/>
      <c r="G8" s="13"/>
      <c r="H8" s="19" t="s">
        <v>246</v>
      </c>
      <c r="I8" s="18"/>
      <c r="J8" s="18"/>
      <c r="M8" s="330"/>
      <c r="N8" s="330"/>
      <c r="O8" s="330"/>
      <c r="P8" s="330"/>
    </row>
    <row r="9" spans="1:32">
      <c r="F9" s="13"/>
      <c r="G9" s="13"/>
      <c r="H9" s="19" t="s">
        <v>608</v>
      </c>
      <c r="I9" s="18"/>
      <c r="J9" s="18"/>
      <c r="M9" s="330"/>
      <c r="N9" s="330"/>
      <c r="O9" s="330"/>
      <c r="P9" s="330"/>
    </row>
    <row r="10" spans="1:32">
      <c r="F10" s="13"/>
      <c r="G10" s="13"/>
      <c r="H10" s="19"/>
      <c r="I10" s="18"/>
      <c r="J10" s="18"/>
      <c r="M10" s="330"/>
      <c r="N10" s="330"/>
      <c r="O10" s="330"/>
      <c r="P10" s="330"/>
    </row>
    <row r="11" spans="1:32">
      <c r="A11" s="343" t="s">
        <v>11</v>
      </c>
      <c r="B11" s="343"/>
      <c r="C11" s="343"/>
      <c r="D11" s="343"/>
      <c r="E11" s="343"/>
      <c r="F11" s="343"/>
      <c r="G11" s="343"/>
      <c r="H11" s="343"/>
      <c r="I11" s="343"/>
      <c r="M11" s="330"/>
      <c r="N11" s="330"/>
      <c r="O11" s="330"/>
      <c r="P11" s="330"/>
    </row>
    <row r="12" spans="1:32">
      <c r="A12" s="343" t="s">
        <v>521</v>
      </c>
      <c r="B12" s="343"/>
      <c r="C12" s="343"/>
      <c r="D12" s="343"/>
      <c r="E12" s="343"/>
      <c r="F12" s="343"/>
      <c r="G12" s="343"/>
      <c r="H12" s="343"/>
      <c r="I12" s="343"/>
      <c r="M12" s="330"/>
      <c r="N12" s="330"/>
      <c r="O12" s="330"/>
      <c r="P12" s="330"/>
    </row>
    <row r="13" spans="1:32">
      <c r="A13" s="61"/>
      <c r="B13" s="20"/>
      <c r="C13" s="20"/>
      <c r="D13" s="20"/>
      <c r="E13" s="221"/>
      <c r="F13" s="20"/>
      <c r="G13" s="20"/>
      <c r="H13" s="20"/>
      <c r="I13" s="325"/>
      <c r="M13" s="330"/>
      <c r="N13" s="330"/>
      <c r="O13" s="330"/>
      <c r="P13" s="330"/>
    </row>
    <row r="14" spans="1:32">
      <c r="A14" s="22"/>
      <c r="B14" s="23"/>
      <c r="C14" s="24"/>
      <c r="D14" s="24"/>
      <c r="E14" s="24"/>
      <c r="G14" s="21"/>
      <c r="I14" s="324" t="s">
        <v>522</v>
      </c>
      <c r="M14" s="330"/>
      <c r="N14" s="330"/>
      <c r="O14" s="330"/>
      <c r="P14" s="330"/>
    </row>
    <row r="15" spans="1:32" ht="45">
      <c r="A15" s="288" t="s">
        <v>0</v>
      </c>
      <c r="B15" s="288" t="s">
        <v>1</v>
      </c>
      <c r="C15" s="289" t="s">
        <v>2</v>
      </c>
      <c r="D15" s="289" t="s">
        <v>3</v>
      </c>
      <c r="E15" s="289" t="s">
        <v>4</v>
      </c>
      <c r="F15" s="289" t="s">
        <v>5</v>
      </c>
      <c r="G15" s="290" t="s">
        <v>453</v>
      </c>
      <c r="H15" s="290" t="s">
        <v>474</v>
      </c>
      <c r="I15" s="27" t="s">
        <v>488</v>
      </c>
      <c r="M15" s="256"/>
      <c r="N15" s="256"/>
      <c r="O15" s="256"/>
      <c r="P15" s="330"/>
      <c r="AE15" s="54"/>
      <c r="AF15" s="54"/>
    </row>
    <row r="16" spans="1:32">
      <c r="A16" s="291"/>
      <c r="B16" s="289" t="s">
        <v>6</v>
      </c>
      <c r="C16" s="289" t="s">
        <v>7</v>
      </c>
      <c r="D16" s="289" t="s">
        <v>8</v>
      </c>
      <c r="E16" s="289" t="s">
        <v>9</v>
      </c>
      <c r="F16" s="289" t="s">
        <v>10</v>
      </c>
      <c r="G16" s="292">
        <v>7</v>
      </c>
      <c r="H16" s="292">
        <v>8</v>
      </c>
      <c r="I16" s="156"/>
      <c r="M16" s="256"/>
      <c r="N16" s="256"/>
      <c r="O16" s="256"/>
      <c r="P16" s="331"/>
      <c r="AE16" s="54"/>
      <c r="AF16" s="54"/>
    </row>
    <row r="17" spans="1:32" ht="34.5" customHeight="1">
      <c r="A17" s="144">
        <v>1</v>
      </c>
      <c r="B17" s="293" t="s">
        <v>228</v>
      </c>
      <c r="C17" s="294" t="s">
        <v>159</v>
      </c>
      <c r="D17" s="295"/>
      <c r="E17" s="294"/>
      <c r="F17" s="295"/>
      <c r="G17" s="296">
        <f>G18+G39+G46+G53+G66+G80+G87+G94+G100+G73</f>
        <v>216289059.92000002</v>
      </c>
      <c r="H17" s="296">
        <f t="shared" ref="H17:I17" si="0">H18+H39+H46+H53+H66+H80+H87+H94+H100</f>
        <v>188137359.49000001</v>
      </c>
      <c r="I17" s="46">
        <f t="shared" si="0"/>
        <v>188481459.49000001</v>
      </c>
      <c r="M17" s="256"/>
      <c r="N17" s="256"/>
      <c r="O17" s="256"/>
      <c r="P17" s="330"/>
      <c r="AE17" s="54"/>
      <c r="AF17" s="54"/>
    </row>
    <row r="18" spans="1:32">
      <c r="A18" s="144">
        <v>2</v>
      </c>
      <c r="B18" s="297" t="s">
        <v>85</v>
      </c>
      <c r="C18" s="34" t="s">
        <v>159</v>
      </c>
      <c r="D18" s="34" t="s">
        <v>86</v>
      </c>
      <c r="E18" s="34"/>
      <c r="F18" s="144"/>
      <c r="G18" s="134">
        <f>G19+G33</f>
        <v>20423886.75</v>
      </c>
      <c r="H18" s="134">
        <f>H19+H33</f>
        <v>18886542.75</v>
      </c>
      <c r="I18" s="29">
        <f>I19+I33</f>
        <v>18886542.75</v>
      </c>
      <c r="M18" s="256"/>
      <c r="N18" s="256"/>
      <c r="O18" s="256"/>
      <c r="P18" s="330"/>
      <c r="AE18" s="54"/>
      <c r="AF18" s="54"/>
    </row>
    <row r="19" spans="1:32" ht="30">
      <c r="A19" s="144">
        <v>3</v>
      </c>
      <c r="B19" s="143" t="s">
        <v>12</v>
      </c>
      <c r="C19" s="34" t="s">
        <v>159</v>
      </c>
      <c r="D19" s="34" t="s">
        <v>92</v>
      </c>
      <c r="E19" s="34"/>
      <c r="F19" s="144"/>
      <c r="G19" s="134">
        <f>G20</f>
        <v>20319086.75</v>
      </c>
      <c r="H19" s="134">
        <f t="shared" ref="H19:I19" si="1">H20</f>
        <v>18793542.75</v>
      </c>
      <c r="I19" s="29">
        <f t="shared" si="1"/>
        <v>18793542.75</v>
      </c>
      <c r="M19" s="256"/>
      <c r="N19" s="256"/>
      <c r="O19" s="256"/>
      <c r="P19" s="330"/>
      <c r="AE19" s="54"/>
      <c r="AF19" s="54"/>
    </row>
    <row r="20" spans="1:32">
      <c r="A20" s="144">
        <v>4</v>
      </c>
      <c r="B20" s="298" t="s">
        <v>13</v>
      </c>
      <c r="C20" s="34" t="s">
        <v>159</v>
      </c>
      <c r="D20" s="34" t="s">
        <v>92</v>
      </c>
      <c r="E20" s="34" t="s">
        <v>168</v>
      </c>
      <c r="F20" s="144"/>
      <c r="G20" s="134">
        <f t="shared" ref="G20:I20" si="2">G21</f>
        <v>20319086.75</v>
      </c>
      <c r="H20" s="134">
        <f t="shared" si="2"/>
        <v>18793542.75</v>
      </c>
      <c r="I20" s="29">
        <f t="shared" si="2"/>
        <v>18793542.75</v>
      </c>
      <c r="M20" s="256"/>
      <c r="N20" s="256"/>
      <c r="O20" s="256"/>
      <c r="P20" s="330"/>
      <c r="AE20" s="54"/>
      <c r="AF20" s="54"/>
    </row>
    <row r="21" spans="1:32">
      <c r="A21" s="144">
        <v>5</v>
      </c>
      <c r="B21" s="298" t="s">
        <v>14</v>
      </c>
      <c r="C21" s="34" t="s">
        <v>159</v>
      </c>
      <c r="D21" s="34" t="s">
        <v>92</v>
      </c>
      <c r="E21" s="34" t="s">
        <v>169</v>
      </c>
      <c r="F21" s="144"/>
      <c r="G21" s="134">
        <f>G22+G30</f>
        <v>20319086.75</v>
      </c>
      <c r="H21" s="134">
        <f t="shared" ref="H21:I21" si="3">H22+H30</f>
        <v>18793542.75</v>
      </c>
      <c r="I21" s="29">
        <f t="shared" si="3"/>
        <v>18793542.75</v>
      </c>
      <c r="M21" s="256"/>
      <c r="N21" s="256"/>
      <c r="O21" s="256"/>
      <c r="P21" s="330"/>
      <c r="AE21" s="54"/>
      <c r="AF21" s="54"/>
    </row>
    <row r="22" spans="1:32" ht="60">
      <c r="A22" s="144">
        <v>6</v>
      </c>
      <c r="B22" s="299" t="s">
        <v>366</v>
      </c>
      <c r="C22" s="34" t="s">
        <v>159</v>
      </c>
      <c r="D22" s="34" t="s">
        <v>92</v>
      </c>
      <c r="E22" s="34" t="s">
        <v>170</v>
      </c>
      <c r="F22" s="144"/>
      <c r="G22" s="134">
        <f t="shared" ref="G22" si="4">G23+G25+G27</f>
        <v>17524359.350000001</v>
      </c>
      <c r="H22" s="134">
        <f t="shared" ref="H22:I22" si="5">H23+H25+H27</f>
        <v>16315201.35</v>
      </c>
      <c r="I22" s="29">
        <f t="shared" si="5"/>
        <v>16315201.35</v>
      </c>
      <c r="M22" s="256"/>
      <c r="N22" s="256"/>
      <c r="O22" s="256"/>
      <c r="P22" s="330"/>
      <c r="AE22" s="54"/>
      <c r="AF22" s="54"/>
    </row>
    <row r="23" spans="1:32" ht="45">
      <c r="A23" s="144">
        <v>7</v>
      </c>
      <c r="B23" s="143" t="s">
        <v>15</v>
      </c>
      <c r="C23" s="34" t="s">
        <v>159</v>
      </c>
      <c r="D23" s="34" t="s">
        <v>92</v>
      </c>
      <c r="E23" s="34" t="s">
        <v>170</v>
      </c>
      <c r="F23" s="144">
        <v>100</v>
      </c>
      <c r="G23" s="134">
        <f t="shared" ref="G23:I23" si="6">G24</f>
        <v>15624859.35</v>
      </c>
      <c r="H23" s="134">
        <f t="shared" si="6"/>
        <v>14675701.35</v>
      </c>
      <c r="I23" s="29">
        <f t="shared" si="6"/>
        <v>14675701.35</v>
      </c>
      <c r="M23" s="256"/>
      <c r="N23" s="256"/>
      <c r="O23" s="256"/>
      <c r="P23" s="330"/>
      <c r="AE23" s="54"/>
      <c r="AF23" s="54"/>
    </row>
    <row r="24" spans="1:32">
      <c r="A24" s="144">
        <v>8</v>
      </c>
      <c r="B24" s="143" t="s">
        <v>16</v>
      </c>
      <c r="C24" s="34" t="s">
        <v>159</v>
      </c>
      <c r="D24" s="34" t="s">
        <v>92</v>
      </c>
      <c r="E24" s="34" t="s">
        <v>170</v>
      </c>
      <c r="F24" s="144">
        <v>120</v>
      </c>
      <c r="G24" s="134">
        <f>14675701.35+164926+949158-164926</f>
        <v>15624859.35</v>
      </c>
      <c r="H24" s="134">
        <f>14675701.35+164926-164926</f>
        <v>14675701.35</v>
      </c>
      <c r="I24" s="157">
        <v>14675701.35</v>
      </c>
      <c r="M24" s="256"/>
      <c r="N24" s="256"/>
      <c r="O24" s="256"/>
      <c r="P24" s="330"/>
      <c r="AE24" s="54"/>
      <c r="AF24" s="54"/>
    </row>
    <row r="25" spans="1:32">
      <c r="A25" s="144">
        <v>9</v>
      </c>
      <c r="B25" s="143" t="s">
        <v>20</v>
      </c>
      <c r="C25" s="34" t="s">
        <v>159</v>
      </c>
      <c r="D25" s="34" t="s">
        <v>92</v>
      </c>
      <c r="E25" s="34" t="s">
        <v>170</v>
      </c>
      <c r="F25" s="144">
        <v>200</v>
      </c>
      <c r="G25" s="134">
        <f t="shared" ref="G25:I25" si="7">G26</f>
        <v>1894500</v>
      </c>
      <c r="H25" s="134">
        <f t="shared" si="7"/>
        <v>1634500</v>
      </c>
      <c r="I25" s="29">
        <f t="shared" si="7"/>
        <v>1634500</v>
      </c>
      <c r="M25" s="256"/>
      <c r="N25" s="256"/>
      <c r="O25" s="256"/>
      <c r="P25" s="330"/>
      <c r="AE25" s="54"/>
      <c r="AF25" s="54"/>
    </row>
    <row r="26" spans="1:32">
      <c r="A26" s="144">
        <v>10</v>
      </c>
      <c r="B26" s="143" t="s">
        <v>21</v>
      </c>
      <c r="C26" s="34" t="s">
        <v>159</v>
      </c>
      <c r="D26" s="34" t="s">
        <v>92</v>
      </c>
      <c r="E26" s="34" t="s">
        <v>170</v>
      </c>
      <c r="F26" s="144">
        <v>240</v>
      </c>
      <c r="G26" s="134">
        <f>1634500+260000</f>
        <v>1894500</v>
      </c>
      <c r="H26" s="134">
        <v>1634500</v>
      </c>
      <c r="I26" s="157">
        <v>1634500</v>
      </c>
      <c r="J26" s="335">
        <v>260000</v>
      </c>
      <c r="M26" s="256"/>
      <c r="N26" s="256"/>
      <c r="O26" s="256"/>
      <c r="P26" s="330"/>
      <c r="AE26" s="54"/>
      <c r="AF26" s="54"/>
    </row>
    <row r="27" spans="1:32">
      <c r="A27" s="144">
        <v>11</v>
      </c>
      <c r="B27" s="299" t="s">
        <v>32</v>
      </c>
      <c r="C27" s="34" t="s">
        <v>159</v>
      </c>
      <c r="D27" s="34" t="s">
        <v>92</v>
      </c>
      <c r="E27" s="34" t="s">
        <v>170</v>
      </c>
      <c r="F27" s="144">
        <v>800</v>
      </c>
      <c r="G27" s="134">
        <f t="shared" ref="G27:I27" si="8">G28+G29</f>
        <v>5000</v>
      </c>
      <c r="H27" s="134">
        <f t="shared" si="8"/>
        <v>5000</v>
      </c>
      <c r="I27" s="134">
        <f t="shared" si="8"/>
        <v>5000</v>
      </c>
      <c r="M27" s="256"/>
      <c r="N27" s="256"/>
      <c r="O27" s="256"/>
      <c r="P27" s="330"/>
      <c r="AE27" s="54"/>
      <c r="AF27" s="54"/>
    </row>
    <row r="28" spans="1:32">
      <c r="A28" s="144">
        <v>12</v>
      </c>
      <c r="B28" s="299" t="s">
        <v>38</v>
      </c>
      <c r="C28" s="34" t="s">
        <v>159</v>
      </c>
      <c r="D28" s="34" t="s">
        <v>92</v>
      </c>
      <c r="E28" s="34" t="s">
        <v>170</v>
      </c>
      <c r="F28" s="144">
        <v>830</v>
      </c>
      <c r="G28" s="134">
        <v>2500</v>
      </c>
      <c r="H28" s="134">
        <v>2500</v>
      </c>
      <c r="I28" s="157">
        <v>2500</v>
      </c>
      <c r="M28" s="256"/>
      <c r="N28" s="256"/>
      <c r="O28" s="256"/>
      <c r="P28" s="330"/>
      <c r="AE28" s="54"/>
      <c r="AF28" s="54"/>
    </row>
    <row r="29" spans="1:32">
      <c r="A29" s="144">
        <v>13</v>
      </c>
      <c r="B29" s="143" t="s">
        <v>80</v>
      </c>
      <c r="C29" s="34" t="s">
        <v>159</v>
      </c>
      <c r="D29" s="34" t="s">
        <v>92</v>
      </c>
      <c r="E29" s="34" t="s">
        <v>170</v>
      </c>
      <c r="F29" s="144">
        <v>850</v>
      </c>
      <c r="G29" s="134">
        <v>2500</v>
      </c>
      <c r="H29" s="134">
        <v>2500</v>
      </c>
      <c r="I29" s="157">
        <v>2500</v>
      </c>
      <c r="M29" s="256"/>
      <c r="N29" s="256"/>
      <c r="O29" s="256"/>
      <c r="P29" s="330"/>
      <c r="AE29" s="54"/>
      <c r="AF29" s="54"/>
    </row>
    <row r="30" spans="1:32" ht="60">
      <c r="A30" s="144">
        <v>14</v>
      </c>
      <c r="B30" s="299" t="s">
        <v>367</v>
      </c>
      <c r="C30" s="34" t="s">
        <v>159</v>
      </c>
      <c r="D30" s="34" t="s">
        <v>92</v>
      </c>
      <c r="E30" s="34" t="s">
        <v>368</v>
      </c>
      <c r="F30" s="144"/>
      <c r="G30" s="134">
        <f t="shared" ref="G30:I31" si="9">G31</f>
        <v>2794727.4</v>
      </c>
      <c r="H30" s="134">
        <f t="shared" si="9"/>
        <v>2478341.4</v>
      </c>
      <c r="I30" s="29">
        <f t="shared" si="9"/>
        <v>2478341.4</v>
      </c>
      <c r="M30" s="256"/>
      <c r="N30" s="256"/>
      <c r="O30" s="256"/>
      <c r="P30" s="330"/>
      <c r="AE30" s="54"/>
      <c r="AF30" s="54"/>
    </row>
    <row r="31" spans="1:32" ht="45">
      <c r="A31" s="144">
        <v>15</v>
      </c>
      <c r="B31" s="143" t="s">
        <v>15</v>
      </c>
      <c r="C31" s="34" t="s">
        <v>159</v>
      </c>
      <c r="D31" s="34" t="s">
        <v>92</v>
      </c>
      <c r="E31" s="34" t="s">
        <v>368</v>
      </c>
      <c r="F31" s="144">
        <v>100</v>
      </c>
      <c r="G31" s="134">
        <f t="shared" si="9"/>
        <v>2794727.4</v>
      </c>
      <c r="H31" s="134">
        <f t="shared" si="9"/>
        <v>2478341.4</v>
      </c>
      <c r="I31" s="29">
        <f t="shared" si="9"/>
        <v>2478341.4</v>
      </c>
      <c r="M31" s="256"/>
      <c r="N31" s="256"/>
      <c r="O31" s="256"/>
      <c r="P31" s="330"/>
      <c r="AE31" s="54"/>
      <c r="AF31" s="54"/>
    </row>
    <row r="32" spans="1:32">
      <c r="A32" s="144">
        <v>16</v>
      </c>
      <c r="B32" s="143" t="s">
        <v>16</v>
      </c>
      <c r="C32" s="34" t="s">
        <v>159</v>
      </c>
      <c r="D32" s="34" t="s">
        <v>92</v>
      </c>
      <c r="E32" s="34" t="s">
        <v>368</v>
      </c>
      <c r="F32" s="144">
        <v>120</v>
      </c>
      <c r="G32" s="134">
        <f>2478341.4+316386</f>
        <v>2794727.4</v>
      </c>
      <c r="H32" s="134">
        <v>2478341.4</v>
      </c>
      <c r="I32" s="157">
        <v>2478341.4</v>
      </c>
      <c r="M32" s="256"/>
      <c r="N32" s="256"/>
      <c r="O32" s="256"/>
      <c r="P32" s="330"/>
      <c r="AE32" s="54"/>
      <c r="AF32" s="54"/>
    </row>
    <row r="33" spans="1:32">
      <c r="A33" s="144">
        <v>17</v>
      </c>
      <c r="B33" s="299" t="s">
        <v>35</v>
      </c>
      <c r="C33" s="34" t="s">
        <v>159</v>
      </c>
      <c r="D33" s="34" t="s">
        <v>94</v>
      </c>
      <c r="E33" s="34"/>
      <c r="F33" s="144"/>
      <c r="G33" s="134">
        <f t="shared" ref="G33:I33" si="10">G34</f>
        <v>104800</v>
      </c>
      <c r="H33" s="134">
        <f t="shared" si="10"/>
        <v>93000</v>
      </c>
      <c r="I33" s="29">
        <f t="shared" si="10"/>
        <v>93000</v>
      </c>
      <c r="M33" s="256"/>
      <c r="N33" s="256"/>
      <c r="O33" s="256"/>
      <c r="P33" s="330"/>
      <c r="AE33" s="54"/>
      <c r="AF33" s="54"/>
    </row>
    <row r="34" spans="1:32">
      <c r="A34" s="144">
        <v>18</v>
      </c>
      <c r="B34" s="298" t="s">
        <v>23</v>
      </c>
      <c r="C34" s="34" t="s">
        <v>159</v>
      </c>
      <c r="D34" s="34" t="s">
        <v>94</v>
      </c>
      <c r="E34" s="34">
        <v>9200000000</v>
      </c>
      <c r="F34" s="144"/>
      <c r="G34" s="134">
        <f t="shared" ref="G34:H34" si="11">G36</f>
        <v>104800</v>
      </c>
      <c r="H34" s="134">
        <f t="shared" si="11"/>
        <v>93000</v>
      </c>
      <c r="I34" s="29">
        <f t="shared" ref="I34" si="12">I36</f>
        <v>93000</v>
      </c>
      <c r="M34" s="256"/>
      <c r="N34" s="256"/>
      <c r="O34" s="256"/>
      <c r="P34" s="330"/>
      <c r="AE34" s="54"/>
      <c r="AF34" s="54"/>
    </row>
    <row r="35" spans="1:32">
      <c r="A35" s="144">
        <v>19</v>
      </c>
      <c r="B35" s="298" t="s">
        <v>261</v>
      </c>
      <c r="C35" s="34" t="s">
        <v>159</v>
      </c>
      <c r="D35" s="34" t="s">
        <v>94</v>
      </c>
      <c r="E35" s="34">
        <v>9210000000</v>
      </c>
      <c r="F35" s="144"/>
      <c r="G35" s="134">
        <f t="shared" ref="G35:I36" si="13">G36</f>
        <v>104800</v>
      </c>
      <c r="H35" s="134">
        <f t="shared" si="13"/>
        <v>93000</v>
      </c>
      <c r="I35" s="29">
        <f t="shared" si="13"/>
        <v>93000</v>
      </c>
      <c r="M35" s="256"/>
      <c r="N35" s="256"/>
      <c r="O35" s="256"/>
      <c r="P35" s="330"/>
      <c r="AE35" s="54"/>
      <c r="AF35" s="54"/>
    </row>
    <row r="36" spans="1:32" ht="45">
      <c r="A36" s="144">
        <v>20</v>
      </c>
      <c r="B36" s="298" t="s">
        <v>397</v>
      </c>
      <c r="C36" s="34" t="s">
        <v>159</v>
      </c>
      <c r="D36" s="34" t="s">
        <v>94</v>
      </c>
      <c r="E36" s="34">
        <v>9210075140</v>
      </c>
      <c r="F36" s="144"/>
      <c r="G36" s="134">
        <f t="shared" si="13"/>
        <v>104800</v>
      </c>
      <c r="H36" s="134">
        <f t="shared" si="13"/>
        <v>93000</v>
      </c>
      <c r="I36" s="29">
        <f t="shared" si="13"/>
        <v>93000</v>
      </c>
      <c r="M36" s="256"/>
      <c r="N36" s="256"/>
      <c r="O36" s="256"/>
      <c r="P36" s="330"/>
      <c r="AE36" s="54"/>
      <c r="AF36" s="54"/>
    </row>
    <row r="37" spans="1:32">
      <c r="A37" s="144">
        <v>21</v>
      </c>
      <c r="B37" s="143" t="s">
        <v>18</v>
      </c>
      <c r="C37" s="34" t="s">
        <v>159</v>
      </c>
      <c r="D37" s="34" t="s">
        <v>94</v>
      </c>
      <c r="E37" s="34">
        <v>9210075140</v>
      </c>
      <c r="F37" s="144">
        <v>500</v>
      </c>
      <c r="G37" s="134">
        <f t="shared" ref="G37:I37" si="14">G38</f>
        <v>104800</v>
      </c>
      <c r="H37" s="134">
        <f t="shared" si="14"/>
        <v>93000</v>
      </c>
      <c r="I37" s="29">
        <f t="shared" si="14"/>
        <v>93000</v>
      </c>
      <c r="M37" s="256"/>
      <c r="N37" s="256"/>
      <c r="O37" s="256"/>
      <c r="P37" s="330"/>
      <c r="AE37" s="54"/>
      <c r="AF37" s="54"/>
    </row>
    <row r="38" spans="1:32">
      <c r="A38" s="144">
        <v>22</v>
      </c>
      <c r="B38" s="143" t="s">
        <v>19</v>
      </c>
      <c r="C38" s="34" t="s">
        <v>159</v>
      </c>
      <c r="D38" s="34" t="s">
        <v>94</v>
      </c>
      <c r="E38" s="34">
        <v>9210075140</v>
      </c>
      <c r="F38" s="144">
        <v>530</v>
      </c>
      <c r="G38" s="134">
        <f>93000+11800</f>
        <v>104800</v>
      </c>
      <c r="H38" s="134">
        <v>93000</v>
      </c>
      <c r="I38" s="157">
        <v>93000</v>
      </c>
      <c r="M38" s="256"/>
      <c r="N38" s="256"/>
      <c r="O38" s="256"/>
      <c r="P38" s="330"/>
      <c r="AE38" s="54"/>
      <c r="AF38" s="54"/>
    </row>
    <row r="39" spans="1:32">
      <c r="A39" s="144">
        <v>23</v>
      </c>
      <c r="B39" s="297" t="s">
        <v>95</v>
      </c>
      <c r="C39" s="34" t="s">
        <v>159</v>
      </c>
      <c r="D39" s="34" t="s">
        <v>96</v>
      </c>
      <c r="E39" s="34"/>
      <c r="F39" s="144"/>
      <c r="G39" s="134">
        <f t="shared" ref="G39:I39" si="15">G40</f>
        <v>2955800</v>
      </c>
      <c r="H39" s="134">
        <f t="shared" si="15"/>
        <v>3294200</v>
      </c>
      <c r="I39" s="29">
        <f t="shared" si="15"/>
        <v>3638300</v>
      </c>
      <c r="M39" s="256"/>
      <c r="N39" s="256"/>
      <c r="O39" s="256"/>
      <c r="P39" s="330"/>
      <c r="AE39" s="54"/>
      <c r="AF39" s="54"/>
    </row>
    <row r="40" spans="1:32">
      <c r="A40" s="144">
        <v>24</v>
      </c>
      <c r="B40" s="143" t="s">
        <v>22</v>
      </c>
      <c r="C40" s="34" t="s">
        <v>159</v>
      </c>
      <c r="D40" s="34" t="s">
        <v>97</v>
      </c>
      <c r="E40" s="34"/>
      <c r="F40" s="144"/>
      <c r="G40" s="134">
        <f t="shared" ref="G40" si="16">G43</f>
        <v>2955800</v>
      </c>
      <c r="H40" s="134">
        <f t="shared" ref="H40:I40" si="17">H43</f>
        <v>3294200</v>
      </c>
      <c r="I40" s="29">
        <f t="shared" si="17"/>
        <v>3638300</v>
      </c>
      <c r="M40" s="256"/>
      <c r="N40" s="256"/>
      <c r="O40" s="256"/>
      <c r="P40" s="330"/>
      <c r="AE40" s="54"/>
      <c r="AF40" s="54"/>
    </row>
    <row r="41" spans="1:32">
      <c r="A41" s="144">
        <v>25</v>
      </c>
      <c r="B41" s="143" t="s">
        <v>23</v>
      </c>
      <c r="C41" s="34" t="s">
        <v>159</v>
      </c>
      <c r="D41" s="34" t="s">
        <v>97</v>
      </c>
      <c r="E41" s="34">
        <v>9200000000</v>
      </c>
      <c r="F41" s="144"/>
      <c r="G41" s="134">
        <f>G43</f>
        <v>2955800</v>
      </c>
      <c r="H41" s="134">
        <f>H43</f>
        <v>3294200</v>
      </c>
      <c r="I41" s="29">
        <f>I43</f>
        <v>3638300</v>
      </c>
      <c r="M41" s="256"/>
      <c r="N41" s="256"/>
      <c r="O41" s="256"/>
      <c r="P41" s="330"/>
      <c r="AE41" s="54"/>
      <c r="AF41" s="54"/>
    </row>
    <row r="42" spans="1:32">
      <c r="A42" s="144">
        <v>26</v>
      </c>
      <c r="B42" s="298" t="s">
        <v>261</v>
      </c>
      <c r="C42" s="34" t="s">
        <v>159</v>
      </c>
      <c r="D42" s="34" t="s">
        <v>97</v>
      </c>
      <c r="E42" s="34">
        <v>9210000000</v>
      </c>
      <c r="F42" s="144"/>
      <c r="G42" s="134">
        <f t="shared" ref="G42:I42" si="18">G43</f>
        <v>2955800</v>
      </c>
      <c r="H42" s="134">
        <f t="shared" si="18"/>
        <v>3294200</v>
      </c>
      <c r="I42" s="29">
        <f t="shared" si="18"/>
        <v>3638300</v>
      </c>
      <c r="M42" s="256"/>
      <c r="N42" s="256"/>
      <c r="O42" s="256"/>
      <c r="P42" s="330"/>
      <c r="AE42" s="54"/>
      <c r="AF42" s="54"/>
    </row>
    <row r="43" spans="1:32" ht="30">
      <c r="A43" s="144">
        <v>27</v>
      </c>
      <c r="B43" s="143" t="s">
        <v>369</v>
      </c>
      <c r="C43" s="34" t="s">
        <v>159</v>
      </c>
      <c r="D43" s="34" t="s">
        <v>97</v>
      </c>
      <c r="E43" s="34">
        <v>9210051180</v>
      </c>
      <c r="F43" s="144"/>
      <c r="G43" s="134">
        <f t="shared" ref="G43:I43" si="19">G44</f>
        <v>2955800</v>
      </c>
      <c r="H43" s="134">
        <f t="shared" si="19"/>
        <v>3294200</v>
      </c>
      <c r="I43" s="29">
        <f t="shared" si="19"/>
        <v>3638300</v>
      </c>
      <c r="M43" s="256"/>
      <c r="N43" s="256"/>
      <c r="O43" s="256"/>
      <c r="P43" s="330"/>
      <c r="AE43" s="54"/>
      <c r="AF43" s="54"/>
    </row>
    <row r="44" spans="1:32">
      <c r="A44" s="144">
        <v>28</v>
      </c>
      <c r="B44" s="143" t="s">
        <v>18</v>
      </c>
      <c r="C44" s="34" t="s">
        <v>159</v>
      </c>
      <c r="D44" s="34" t="s">
        <v>97</v>
      </c>
      <c r="E44" s="34">
        <v>9210051180</v>
      </c>
      <c r="F44" s="144">
        <v>500</v>
      </c>
      <c r="G44" s="134">
        <f>G45</f>
        <v>2955800</v>
      </c>
      <c r="H44" s="134">
        <f>H45</f>
        <v>3294200</v>
      </c>
      <c r="I44" s="29">
        <f>I45</f>
        <v>3638300</v>
      </c>
      <c r="M44" s="256"/>
      <c r="N44" s="256"/>
      <c r="O44" s="256"/>
      <c r="P44" s="330"/>
      <c r="AE44" s="54"/>
      <c r="AF44" s="54"/>
    </row>
    <row r="45" spans="1:32">
      <c r="A45" s="144">
        <v>29</v>
      </c>
      <c r="B45" s="143" t="s">
        <v>19</v>
      </c>
      <c r="C45" s="34" t="s">
        <v>159</v>
      </c>
      <c r="D45" s="34" t="s">
        <v>97</v>
      </c>
      <c r="E45" s="34">
        <v>9210051180</v>
      </c>
      <c r="F45" s="144">
        <v>530</v>
      </c>
      <c r="G45" s="134">
        <v>2955800</v>
      </c>
      <c r="H45" s="134">
        <v>3294200</v>
      </c>
      <c r="I45" s="157">
        <v>3638300</v>
      </c>
      <c r="M45" s="256"/>
      <c r="N45" s="256"/>
      <c r="O45" s="256"/>
      <c r="P45" s="330"/>
      <c r="AE45" s="54"/>
      <c r="AF45" s="54"/>
    </row>
    <row r="46" spans="1:32">
      <c r="A46" s="144">
        <v>30</v>
      </c>
      <c r="B46" s="143" t="s">
        <v>98</v>
      </c>
      <c r="C46" s="34" t="s">
        <v>159</v>
      </c>
      <c r="D46" s="34" t="s">
        <v>99</v>
      </c>
      <c r="E46" s="144"/>
      <c r="F46" s="144"/>
      <c r="G46" s="134">
        <f t="shared" ref="G46:I51" si="20">G47</f>
        <v>2702800</v>
      </c>
      <c r="H46" s="134">
        <f t="shared" si="20"/>
        <v>1801800</v>
      </c>
      <c r="I46" s="29">
        <f t="shared" si="20"/>
        <v>1801800</v>
      </c>
      <c r="M46" s="256"/>
      <c r="N46" s="256"/>
      <c r="O46" s="256"/>
      <c r="P46" s="330"/>
      <c r="AE46" s="54"/>
      <c r="AF46" s="54"/>
    </row>
    <row r="47" spans="1:32" ht="30">
      <c r="A47" s="144">
        <v>31</v>
      </c>
      <c r="B47" s="143" t="s">
        <v>539</v>
      </c>
      <c r="C47" s="34" t="s">
        <v>159</v>
      </c>
      <c r="D47" s="34" t="s">
        <v>379</v>
      </c>
      <c r="E47" s="144"/>
      <c r="F47" s="144"/>
      <c r="G47" s="134">
        <f t="shared" si="20"/>
        <v>2702800</v>
      </c>
      <c r="H47" s="134">
        <f t="shared" si="20"/>
        <v>1801800</v>
      </c>
      <c r="I47" s="29">
        <f t="shared" si="20"/>
        <v>1801800</v>
      </c>
      <c r="M47" s="256"/>
      <c r="N47" s="256"/>
      <c r="O47" s="256"/>
      <c r="P47" s="330"/>
      <c r="AE47" s="54"/>
      <c r="AF47" s="54"/>
    </row>
    <row r="48" spans="1:32" ht="30">
      <c r="A48" s="144">
        <v>32</v>
      </c>
      <c r="B48" s="143" t="s">
        <v>540</v>
      </c>
      <c r="C48" s="34" t="s">
        <v>159</v>
      </c>
      <c r="D48" s="34" t="s">
        <v>379</v>
      </c>
      <c r="E48" s="34" t="s">
        <v>187</v>
      </c>
      <c r="F48" s="144"/>
      <c r="G48" s="134">
        <f t="shared" si="20"/>
        <v>2702800</v>
      </c>
      <c r="H48" s="134">
        <f t="shared" si="20"/>
        <v>1801800</v>
      </c>
      <c r="I48" s="29">
        <f t="shared" si="20"/>
        <v>1801800</v>
      </c>
      <c r="M48" s="256"/>
      <c r="N48" s="256"/>
      <c r="O48" s="256"/>
      <c r="P48" s="330"/>
      <c r="AE48" s="54"/>
      <c r="AF48" s="54"/>
    </row>
    <row r="49" spans="1:32" ht="30">
      <c r="A49" s="144">
        <v>33</v>
      </c>
      <c r="B49" s="143" t="s">
        <v>294</v>
      </c>
      <c r="C49" s="34" t="s">
        <v>159</v>
      </c>
      <c r="D49" s="34" t="s">
        <v>379</v>
      </c>
      <c r="E49" s="34" t="s">
        <v>188</v>
      </c>
      <c r="F49" s="144"/>
      <c r="G49" s="134">
        <f t="shared" si="20"/>
        <v>2702800</v>
      </c>
      <c r="H49" s="134">
        <f t="shared" si="20"/>
        <v>1801800</v>
      </c>
      <c r="I49" s="29">
        <f t="shared" si="20"/>
        <v>1801800</v>
      </c>
      <c r="M49" s="256"/>
      <c r="N49" s="256"/>
      <c r="O49" s="256"/>
      <c r="P49" s="330"/>
      <c r="AE49" s="54"/>
      <c r="AF49" s="54"/>
    </row>
    <row r="50" spans="1:32" ht="60">
      <c r="A50" s="144">
        <v>34</v>
      </c>
      <c r="B50" s="143" t="s">
        <v>541</v>
      </c>
      <c r="C50" s="34" t="s">
        <v>159</v>
      </c>
      <c r="D50" s="34" t="s">
        <v>379</v>
      </c>
      <c r="E50" s="34" t="s">
        <v>542</v>
      </c>
      <c r="F50" s="144"/>
      <c r="G50" s="134">
        <f t="shared" si="20"/>
        <v>2702800</v>
      </c>
      <c r="H50" s="134">
        <f t="shared" si="20"/>
        <v>1801800</v>
      </c>
      <c r="I50" s="29">
        <f t="shared" si="20"/>
        <v>1801800</v>
      </c>
      <c r="M50" s="256"/>
      <c r="N50" s="256"/>
      <c r="O50" s="256"/>
      <c r="P50" s="330"/>
      <c r="AE50" s="54"/>
      <c r="AF50" s="54"/>
    </row>
    <row r="51" spans="1:32">
      <c r="A51" s="144">
        <v>35</v>
      </c>
      <c r="B51" s="143" t="s">
        <v>543</v>
      </c>
      <c r="C51" s="34" t="s">
        <v>159</v>
      </c>
      <c r="D51" s="34" t="s">
        <v>379</v>
      </c>
      <c r="E51" s="34" t="s">
        <v>542</v>
      </c>
      <c r="F51" s="144">
        <v>500</v>
      </c>
      <c r="G51" s="134">
        <f t="shared" si="20"/>
        <v>2702800</v>
      </c>
      <c r="H51" s="134">
        <f t="shared" si="20"/>
        <v>1801800</v>
      </c>
      <c r="I51" s="29">
        <f t="shared" si="20"/>
        <v>1801800</v>
      </c>
      <c r="M51" s="256"/>
      <c r="N51" s="256"/>
      <c r="O51" s="256"/>
      <c r="P51" s="330"/>
      <c r="AE51" s="54"/>
      <c r="AF51" s="54"/>
    </row>
    <row r="52" spans="1:32">
      <c r="A52" s="144">
        <v>36</v>
      </c>
      <c r="B52" s="143" t="s">
        <v>544</v>
      </c>
      <c r="C52" s="34" t="s">
        <v>159</v>
      </c>
      <c r="D52" s="34" t="s">
        <v>379</v>
      </c>
      <c r="E52" s="34" t="s">
        <v>542</v>
      </c>
      <c r="F52" s="144">
        <v>540</v>
      </c>
      <c r="G52" s="134">
        <v>2702800</v>
      </c>
      <c r="H52" s="134">
        <v>1801800</v>
      </c>
      <c r="I52" s="157">
        <v>1801800</v>
      </c>
      <c r="J52" s="254"/>
      <c r="K52" s="254"/>
      <c r="L52" s="254"/>
      <c r="M52" s="256"/>
      <c r="N52" s="256"/>
      <c r="O52" s="256"/>
      <c r="P52" s="330"/>
      <c r="AE52" s="54"/>
      <c r="AF52" s="54"/>
    </row>
    <row r="53" spans="1:32" s="54" customFormat="1">
      <c r="A53" s="144">
        <v>37</v>
      </c>
      <c r="B53" s="297" t="s">
        <v>100</v>
      </c>
      <c r="C53" s="34" t="s">
        <v>159</v>
      </c>
      <c r="D53" s="34" t="s">
        <v>101</v>
      </c>
      <c r="E53" s="34"/>
      <c r="F53" s="144"/>
      <c r="G53" s="134">
        <f t="shared" ref="G53:H53" si="21">G54+G60</f>
        <v>23670389.690000001</v>
      </c>
      <c r="H53" s="134">
        <f t="shared" si="21"/>
        <v>24066926.73</v>
      </c>
      <c r="I53" s="29">
        <f t="shared" ref="I53" si="22">I54+I60</f>
        <v>24066926.73</v>
      </c>
      <c r="M53" s="256"/>
      <c r="N53" s="256"/>
      <c r="O53" s="256"/>
      <c r="P53" s="330"/>
    </row>
    <row r="54" spans="1:32" s="54" customFormat="1">
      <c r="A54" s="144">
        <v>38</v>
      </c>
      <c r="B54" s="300" t="s">
        <v>24</v>
      </c>
      <c r="C54" s="34" t="s">
        <v>159</v>
      </c>
      <c r="D54" s="301" t="s">
        <v>103</v>
      </c>
      <c r="E54" s="301"/>
      <c r="F54" s="144"/>
      <c r="G54" s="134">
        <f t="shared" ref="G54:I57" si="23">G55</f>
        <v>200000</v>
      </c>
      <c r="H54" s="134">
        <f t="shared" si="23"/>
        <v>0</v>
      </c>
      <c r="I54" s="29">
        <f t="shared" si="23"/>
        <v>0</v>
      </c>
      <c r="M54" s="256"/>
      <c r="N54" s="256"/>
      <c r="O54" s="256"/>
      <c r="P54" s="330"/>
    </row>
    <row r="55" spans="1:32" s="54" customFormat="1">
      <c r="A55" s="144">
        <v>39</v>
      </c>
      <c r="B55" s="302" t="s">
        <v>285</v>
      </c>
      <c r="C55" s="34" t="s">
        <v>159</v>
      </c>
      <c r="D55" s="301" t="s">
        <v>103</v>
      </c>
      <c r="E55" s="34" t="s">
        <v>178</v>
      </c>
      <c r="F55" s="144"/>
      <c r="G55" s="134">
        <f t="shared" si="23"/>
        <v>200000</v>
      </c>
      <c r="H55" s="134">
        <f t="shared" si="23"/>
        <v>0</v>
      </c>
      <c r="I55" s="29">
        <f t="shared" si="23"/>
        <v>0</v>
      </c>
      <c r="M55" s="256"/>
      <c r="N55" s="256"/>
      <c r="O55" s="256"/>
      <c r="P55" s="330"/>
    </row>
    <row r="56" spans="1:32" s="54" customFormat="1">
      <c r="A56" s="144">
        <v>40</v>
      </c>
      <c r="B56" s="302" t="s">
        <v>39</v>
      </c>
      <c r="C56" s="34" t="s">
        <v>159</v>
      </c>
      <c r="D56" s="301" t="s">
        <v>103</v>
      </c>
      <c r="E56" s="34" t="s">
        <v>293</v>
      </c>
      <c r="F56" s="144"/>
      <c r="G56" s="134">
        <f t="shared" si="23"/>
        <v>200000</v>
      </c>
      <c r="H56" s="134">
        <f t="shared" si="23"/>
        <v>0</v>
      </c>
      <c r="I56" s="29">
        <f t="shared" si="23"/>
        <v>0</v>
      </c>
      <c r="M56" s="256"/>
      <c r="N56" s="256"/>
      <c r="O56" s="256"/>
      <c r="P56" s="330"/>
    </row>
    <row r="57" spans="1:32" s="54" customFormat="1" ht="30">
      <c r="A57" s="144">
        <v>41</v>
      </c>
      <c r="B57" s="300" t="s">
        <v>286</v>
      </c>
      <c r="C57" s="34" t="s">
        <v>159</v>
      </c>
      <c r="D57" s="301" t="s">
        <v>103</v>
      </c>
      <c r="E57" s="34" t="s">
        <v>262</v>
      </c>
      <c r="F57" s="144"/>
      <c r="G57" s="134">
        <f t="shared" si="23"/>
        <v>200000</v>
      </c>
      <c r="H57" s="134">
        <f t="shared" si="23"/>
        <v>0</v>
      </c>
      <c r="I57" s="29">
        <f t="shared" si="23"/>
        <v>0</v>
      </c>
      <c r="M57" s="256"/>
      <c r="N57" s="256"/>
      <c r="O57" s="256"/>
      <c r="P57" s="330"/>
    </row>
    <row r="58" spans="1:32" s="54" customFormat="1">
      <c r="A58" s="144">
        <v>42</v>
      </c>
      <c r="B58" s="143" t="s">
        <v>18</v>
      </c>
      <c r="C58" s="34" t="s">
        <v>159</v>
      </c>
      <c r="D58" s="301" t="s">
        <v>103</v>
      </c>
      <c r="E58" s="34" t="s">
        <v>262</v>
      </c>
      <c r="F58" s="144">
        <v>500</v>
      </c>
      <c r="G58" s="134">
        <f t="shared" ref="G58:I58" si="24">G59</f>
        <v>200000</v>
      </c>
      <c r="H58" s="134">
        <f t="shared" si="24"/>
        <v>0</v>
      </c>
      <c r="I58" s="29">
        <f t="shared" si="24"/>
        <v>0</v>
      </c>
      <c r="M58" s="256"/>
      <c r="N58" s="256"/>
      <c r="O58" s="256"/>
      <c r="P58" s="330"/>
    </row>
    <row r="59" spans="1:32" s="54" customFormat="1">
      <c r="A59" s="144">
        <v>43</v>
      </c>
      <c r="B59" s="143" t="s">
        <v>25</v>
      </c>
      <c r="C59" s="34" t="s">
        <v>159</v>
      </c>
      <c r="D59" s="301" t="s">
        <v>103</v>
      </c>
      <c r="E59" s="34" t="s">
        <v>262</v>
      </c>
      <c r="F59" s="144">
        <v>540</v>
      </c>
      <c r="G59" s="134">
        <v>200000</v>
      </c>
      <c r="H59" s="134">
        <v>0</v>
      </c>
      <c r="I59" s="157">
        <v>0</v>
      </c>
      <c r="M59" s="256"/>
      <c r="N59" s="256"/>
      <c r="O59" s="256"/>
      <c r="P59" s="330"/>
    </row>
    <row r="60" spans="1:32" s="54" customFormat="1">
      <c r="A60" s="144">
        <v>44</v>
      </c>
      <c r="B60" s="299" t="s">
        <v>106</v>
      </c>
      <c r="C60" s="34" t="s">
        <v>159</v>
      </c>
      <c r="D60" s="301" t="s">
        <v>107</v>
      </c>
      <c r="E60" s="34"/>
      <c r="F60" s="144"/>
      <c r="G60" s="134">
        <f t="shared" ref="G60:I62" si="25">G61</f>
        <v>23470389.690000001</v>
      </c>
      <c r="H60" s="134">
        <f t="shared" si="25"/>
        <v>24066926.73</v>
      </c>
      <c r="I60" s="29">
        <f t="shared" si="25"/>
        <v>24066926.73</v>
      </c>
      <c r="M60" s="256"/>
      <c r="N60" s="256"/>
      <c r="O60" s="256"/>
      <c r="P60" s="330"/>
    </row>
    <row r="61" spans="1:32" s="54" customFormat="1">
      <c r="A61" s="144">
        <v>45</v>
      </c>
      <c r="B61" s="299" t="s">
        <v>43</v>
      </c>
      <c r="C61" s="34" t="s">
        <v>159</v>
      </c>
      <c r="D61" s="301" t="s">
        <v>107</v>
      </c>
      <c r="E61" s="34">
        <v>1000000000</v>
      </c>
      <c r="F61" s="144"/>
      <c r="G61" s="134">
        <f>G62</f>
        <v>23470389.690000001</v>
      </c>
      <c r="H61" s="134">
        <f t="shared" si="25"/>
        <v>24066926.73</v>
      </c>
      <c r="I61" s="29">
        <f t="shared" si="25"/>
        <v>24066926.73</v>
      </c>
      <c r="M61" s="256"/>
      <c r="N61" s="256"/>
      <c r="O61" s="256"/>
      <c r="P61" s="330"/>
    </row>
    <row r="62" spans="1:32" s="54" customFormat="1">
      <c r="A62" s="144">
        <v>46</v>
      </c>
      <c r="B62" s="299" t="s">
        <v>254</v>
      </c>
      <c r="C62" s="34" t="s">
        <v>159</v>
      </c>
      <c r="D62" s="301" t="s">
        <v>107</v>
      </c>
      <c r="E62" s="34">
        <v>1040000000</v>
      </c>
      <c r="F62" s="144"/>
      <c r="G62" s="134">
        <f>G63</f>
        <v>23470389.690000001</v>
      </c>
      <c r="H62" s="134">
        <f t="shared" si="25"/>
        <v>24066926.73</v>
      </c>
      <c r="I62" s="29">
        <f t="shared" si="25"/>
        <v>24066926.73</v>
      </c>
      <c r="M62" s="256"/>
      <c r="N62" s="256"/>
      <c r="O62" s="256"/>
      <c r="P62" s="330"/>
    </row>
    <row r="63" spans="1:32" s="54" customFormat="1" ht="60">
      <c r="A63" s="144">
        <v>47</v>
      </c>
      <c r="B63" s="299" t="s">
        <v>460</v>
      </c>
      <c r="C63" s="34" t="s">
        <v>159</v>
      </c>
      <c r="D63" s="301" t="s">
        <v>107</v>
      </c>
      <c r="E63" s="34">
        <v>1040082230</v>
      </c>
      <c r="F63" s="144"/>
      <c r="G63" s="134">
        <f t="shared" ref="G63:I64" si="26">G64</f>
        <v>23470389.690000001</v>
      </c>
      <c r="H63" s="134">
        <f t="shared" si="26"/>
        <v>24066926.73</v>
      </c>
      <c r="I63" s="29">
        <f t="shared" si="26"/>
        <v>24066926.73</v>
      </c>
      <c r="M63" s="256"/>
      <c r="N63" s="256"/>
      <c r="O63" s="256"/>
      <c r="P63" s="330"/>
    </row>
    <row r="64" spans="1:32" s="54" customFormat="1">
      <c r="A64" s="144">
        <v>48</v>
      </c>
      <c r="B64" s="143" t="s">
        <v>18</v>
      </c>
      <c r="C64" s="34" t="s">
        <v>159</v>
      </c>
      <c r="D64" s="301" t="s">
        <v>107</v>
      </c>
      <c r="E64" s="34">
        <v>1040082230</v>
      </c>
      <c r="F64" s="144">
        <v>500</v>
      </c>
      <c r="G64" s="134">
        <f t="shared" si="26"/>
        <v>23470389.690000001</v>
      </c>
      <c r="H64" s="134">
        <f t="shared" si="26"/>
        <v>24066926.73</v>
      </c>
      <c r="I64" s="29">
        <f t="shared" si="26"/>
        <v>24066926.73</v>
      </c>
      <c r="M64" s="256"/>
      <c r="N64" s="256"/>
      <c r="O64" s="256"/>
      <c r="P64" s="330"/>
    </row>
    <row r="65" spans="1:16" s="54" customFormat="1">
      <c r="A65" s="144">
        <v>49</v>
      </c>
      <c r="B65" s="143" t="s">
        <v>25</v>
      </c>
      <c r="C65" s="34" t="s">
        <v>159</v>
      </c>
      <c r="D65" s="301" t="s">
        <v>107</v>
      </c>
      <c r="E65" s="34">
        <v>1040082230</v>
      </c>
      <c r="F65" s="144">
        <v>540</v>
      </c>
      <c r="G65" s="134">
        <f>24066926.73-596537.04</f>
        <v>23470389.690000001</v>
      </c>
      <c r="H65" s="134">
        <v>24066926.73</v>
      </c>
      <c r="I65" s="157">
        <v>24066926.73</v>
      </c>
      <c r="M65" s="256"/>
      <c r="N65" s="256"/>
      <c r="O65" s="256"/>
      <c r="P65" s="330"/>
    </row>
    <row r="66" spans="1:16" s="54" customFormat="1">
      <c r="A66" s="144">
        <v>50</v>
      </c>
      <c r="B66" s="299" t="s">
        <v>109</v>
      </c>
      <c r="C66" s="34" t="s">
        <v>159</v>
      </c>
      <c r="D66" s="301" t="s">
        <v>110</v>
      </c>
      <c r="E66" s="34"/>
      <c r="F66" s="144"/>
      <c r="G66" s="134">
        <f t="shared" ref="G66" si="27">G67</f>
        <v>976920</v>
      </c>
      <c r="H66" s="134">
        <f t="shared" ref="H66:I70" si="28">H67</f>
        <v>0</v>
      </c>
      <c r="I66" s="29">
        <f t="shared" si="28"/>
        <v>0</v>
      </c>
      <c r="M66" s="256"/>
      <c r="N66" s="256"/>
      <c r="O66" s="256"/>
      <c r="P66" s="330"/>
    </row>
    <row r="67" spans="1:16" s="54" customFormat="1">
      <c r="A67" s="144">
        <v>51</v>
      </c>
      <c r="B67" s="298" t="s">
        <v>51</v>
      </c>
      <c r="C67" s="34" t="s">
        <v>159</v>
      </c>
      <c r="D67" s="301" t="s">
        <v>112</v>
      </c>
      <c r="E67" s="34"/>
      <c r="F67" s="144"/>
      <c r="G67" s="134">
        <f>G68</f>
        <v>976920</v>
      </c>
      <c r="H67" s="134">
        <f t="shared" si="28"/>
        <v>0</v>
      </c>
      <c r="I67" s="29">
        <f t="shared" si="28"/>
        <v>0</v>
      </c>
      <c r="M67" s="256"/>
      <c r="N67" s="256"/>
      <c r="O67" s="256"/>
      <c r="P67" s="330"/>
    </row>
    <row r="68" spans="1:16" s="54" customFormat="1" ht="30">
      <c r="A68" s="144">
        <v>52</v>
      </c>
      <c r="B68" s="298" t="s">
        <v>52</v>
      </c>
      <c r="C68" s="34" t="s">
        <v>159</v>
      </c>
      <c r="D68" s="301" t="s">
        <v>112</v>
      </c>
      <c r="E68" s="34" t="s">
        <v>171</v>
      </c>
      <c r="F68" s="144"/>
      <c r="G68" s="134">
        <f>G69</f>
        <v>976920</v>
      </c>
      <c r="H68" s="134">
        <f t="shared" si="28"/>
        <v>0</v>
      </c>
      <c r="I68" s="29">
        <f t="shared" si="28"/>
        <v>0</v>
      </c>
      <c r="M68" s="256"/>
      <c r="N68" s="256"/>
      <c r="O68" s="256"/>
      <c r="P68" s="330"/>
    </row>
    <row r="69" spans="1:16" s="54" customFormat="1">
      <c r="A69" s="144">
        <v>53</v>
      </c>
      <c r="B69" s="299" t="s">
        <v>489</v>
      </c>
      <c r="C69" s="34" t="s">
        <v>159</v>
      </c>
      <c r="D69" s="301" t="s">
        <v>112</v>
      </c>
      <c r="E69" s="34" t="s">
        <v>172</v>
      </c>
      <c r="F69" s="144"/>
      <c r="G69" s="134">
        <f>G70</f>
        <v>976920</v>
      </c>
      <c r="H69" s="134">
        <f t="shared" si="28"/>
        <v>0</v>
      </c>
      <c r="I69" s="29">
        <f t="shared" si="28"/>
        <v>0</v>
      </c>
      <c r="M69" s="256"/>
      <c r="N69" s="256"/>
      <c r="O69" s="256"/>
      <c r="P69" s="330"/>
    </row>
    <row r="70" spans="1:16" s="54" customFormat="1" ht="45">
      <c r="A70" s="144">
        <v>54</v>
      </c>
      <c r="B70" s="299" t="s">
        <v>490</v>
      </c>
      <c r="C70" s="34" t="s">
        <v>159</v>
      </c>
      <c r="D70" s="301" t="s">
        <v>112</v>
      </c>
      <c r="E70" s="34" t="s">
        <v>491</v>
      </c>
      <c r="F70" s="144"/>
      <c r="G70" s="134">
        <f>G71</f>
        <v>976920</v>
      </c>
      <c r="H70" s="134">
        <f t="shared" si="28"/>
        <v>0</v>
      </c>
      <c r="I70" s="29">
        <f t="shared" si="28"/>
        <v>0</v>
      </c>
      <c r="M70" s="256"/>
      <c r="N70" s="256"/>
      <c r="O70" s="256"/>
      <c r="P70" s="330"/>
    </row>
    <row r="71" spans="1:16" s="54" customFormat="1">
      <c r="A71" s="144">
        <v>55</v>
      </c>
      <c r="B71" s="143" t="s">
        <v>18</v>
      </c>
      <c r="C71" s="34" t="s">
        <v>159</v>
      </c>
      <c r="D71" s="301" t="s">
        <v>112</v>
      </c>
      <c r="E71" s="34" t="s">
        <v>491</v>
      </c>
      <c r="F71" s="144">
        <v>500</v>
      </c>
      <c r="G71" s="134">
        <v>976920</v>
      </c>
      <c r="H71" s="134">
        <v>0</v>
      </c>
      <c r="I71" s="29">
        <v>0</v>
      </c>
      <c r="M71" s="256"/>
      <c r="N71" s="256"/>
      <c r="O71" s="256"/>
      <c r="P71" s="330"/>
    </row>
    <row r="72" spans="1:16" s="54" customFormat="1">
      <c r="A72" s="144">
        <v>56</v>
      </c>
      <c r="B72" s="143" t="s">
        <v>25</v>
      </c>
      <c r="C72" s="34" t="s">
        <v>159</v>
      </c>
      <c r="D72" s="301" t="s">
        <v>112</v>
      </c>
      <c r="E72" s="34" t="s">
        <v>491</v>
      </c>
      <c r="F72" s="144">
        <v>540</v>
      </c>
      <c r="G72" s="134">
        <f>G71</f>
        <v>976920</v>
      </c>
      <c r="H72" s="134">
        <f t="shared" ref="H72:I72" si="29">H71</f>
        <v>0</v>
      </c>
      <c r="I72" s="29">
        <f t="shared" si="29"/>
        <v>0</v>
      </c>
      <c r="M72" s="256"/>
      <c r="N72" s="256"/>
      <c r="O72" s="256"/>
      <c r="P72" s="330"/>
    </row>
    <row r="73" spans="1:16" s="54" customFormat="1">
      <c r="A73" s="144">
        <v>57</v>
      </c>
      <c r="B73" s="143" t="s">
        <v>413</v>
      </c>
      <c r="C73" s="34" t="s">
        <v>159</v>
      </c>
      <c r="D73" s="301" t="s">
        <v>414</v>
      </c>
      <c r="E73" s="34"/>
      <c r="F73" s="144"/>
      <c r="G73" s="134">
        <f t="shared" ref="G73:G78" si="30">G74</f>
        <v>3767515.12</v>
      </c>
      <c r="H73" s="134">
        <f t="shared" ref="H73" si="31">H74</f>
        <v>0</v>
      </c>
      <c r="I73" s="29">
        <f>I74</f>
        <v>0</v>
      </c>
      <c r="M73" s="256"/>
      <c r="N73" s="256"/>
      <c r="O73" s="256"/>
      <c r="P73" s="330"/>
    </row>
    <row r="74" spans="1:16" s="54" customFormat="1">
      <c r="A74" s="144">
        <v>58</v>
      </c>
      <c r="B74" s="143" t="s">
        <v>588</v>
      </c>
      <c r="C74" s="34" t="s">
        <v>159</v>
      </c>
      <c r="D74" s="301" t="s">
        <v>421</v>
      </c>
      <c r="E74" s="34"/>
      <c r="F74" s="144"/>
      <c r="G74" s="134">
        <f t="shared" si="30"/>
        <v>3767515.12</v>
      </c>
      <c r="H74" s="134"/>
      <c r="I74" s="157"/>
      <c r="M74" s="256"/>
      <c r="N74" s="256"/>
      <c r="O74" s="256"/>
      <c r="P74" s="330"/>
    </row>
    <row r="75" spans="1:16" s="54" customFormat="1" ht="43.5" customHeight="1">
      <c r="A75" s="144">
        <v>59</v>
      </c>
      <c r="B75" s="143" t="s">
        <v>492</v>
      </c>
      <c r="C75" s="34" t="s">
        <v>159</v>
      </c>
      <c r="D75" s="301" t="s">
        <v>421</v>
      </c>
      <c r="E75" s="34" t="s">
        <v>493</v>
      </c>
      <c r="F75" s="144"/>
      <c r="G75" s="134">
        <f t="shared" si="30"/>
        <v>3767515.12</v>
      </c>
      <c r="H75" s="134">
        <f t="shared" ref="H75:I75" si="32">H76</f>
        <v>0</v>
      </c>
      <c r="I75" s="29">
        <f t="shared" si="32"/>
        <v>0</v>
      </c>
      <c r="M75" s="256"/>
      <c r="N75" s="256"/>
      <c r="O75" s="256"/>
      <c r="P75" s="330"/>
    </row>
    <row r="76" spans="1:16" s="54" customFormat="1" ht="34.5" customHeight="1">
      <c r="A76" s="144">
        <v>60</v>
      </c>
      <c r="B76" s="143" t="s">
        <v>494</v>
      </c>
      <c r="C76" s="34" t="s">
        <v>159</v>
      </c>
      <c r="D76" s="301" t="s">
        <v>421</v>
      </c>
      <c r="E76" s="34" t="s">
        <v>495</v>
      </c>
      <c r="F76" s="144"/>
      <c r="G76" s="134">
        <f t="shared" si="30"/>
        <v>3767515.12</v>
      </c>
      <c r="H76" s="134"/>
      <c r="I76" s="157"/>
      <c r="M76" s="256"/>
      <c r="N76" s="256"/>
      <c r="O76" s="256"/>
      <c r="P76" s="330"/>
    </row>
    <row r="77" spans="1:16" s="54" customFormat="1" ht="69" customHeight="1">
      <c r="A77" s="144">
        <v>61</v>
      </c>
      <c r="B77" s="143" t="s">
        <v>603</v>
      </c>
      <c r="C77" s="34" t="s">
        <v>159</v>
      </c>
      <c r="D77" s="301" t="s">
        <v>421</v>
      </c>
      <c r="E77" s="34" t="s">
        <v>530</v>
      </c>
      <c r="F77" s="144"/>
      <c r="G77" s="134">
        <f t="shared" si="30"/>
        <v>3767515.12</v>
      </c>
      <c r="H77" s="134">
        <f t="shared" ref="H77:I77" si="33">H78</f>
        <v>0</v>
      </c>
      <c r="I77" s="29">
        <f t="shared" si="33"/>
        <v>0</v>
      </c>
      <c r="M77" s="256"/>
      <c r="N77" s="256"/>
      <c r="O77" s="256"/>
      <c r="P77" s="330"/>
    </row>
    <row r="78" spans="1:16" s="54" customFormat="1" ht="30" customHeight="1">
      <c r="A78" s="144">
        <v>62</v>
      </c>
      <c r="B78" s="143" t="s">
        <v>18</v>
      </c>
      <c r="C78" s="34" t="s">
        <v>159</v>
      </c>
      <c r="D78" s="301" t="s">
        <v>421</v>
      </c>
      <c r="E78" s="34" t="s">
        <v>530</v>
      </c>
      <c r="F78" s="144">
        <v>500</v>
      </c>
      <c r="G78" s="134">
        <f t="shared" si="30"/>
        <v>3767515.12</v>
      </c>
      <c r="H78" s="134">
        <f t="shared" ref="H78:I78" si="34">H79</f>
        <v>0</v>
      </c>
      <c r="I78" s="29">
        <f t="shared" si="34"/>
        <v>0</v>
      </c>
      <c r="M78" s="256"/>
      <c r="N78" s="256"/>
      <c r="O78" s="256"/>
      <c r="P78" s="330"/>
    </row>
    <row r="79" spans="1:16" s="54" customFormat="1">
      <c r="A79" s="144">
        <v>63</v>
      </c>
      <c r="B79" s="143" t="s">
        <v>544</v>
      </c>
      <c r="C79" s="34" t="s">
        <v>159</v>
      </c>
      <c r="D79" s="301" t="s">
        <v>421</v>
      </c>
      <c r="E79" s="34" t="s">
        <v>530</v>
      </c>
      <c r="F79" s="144">
        <v>540</v>
      </c>
      <c r="G79" s="134">
        <f>5000000-1232484.88</f>
        <v>3767515.12</v>
      </c>
      <c r="H79" s="134">
        <v>0</v>
      </c>
      <c r="I79" s="157">
        <v>0</v>
      </c>
      <c r="J79" s="334">
        <v>-1232484.8799999999</v>
      </c>
      <c r="M79" s="256"/>
      <c r="N79" s="256"/>
      <c r="O79" s="256"/>
      <c r="P79" s="330"/>
    </row>
    <row r="80" spans="1:16" s="54" customFormat="1">
      <c r="A80" s="144">
        <v>64</v>
      </c>
      <c r="B80" s="297" t="s">
        <v>113</v>
      </c>
      <c r="C80" s="34" t="s">
        <v>159</v>
      </c>
      <c r="D80" s="34" t="s">
        <v>114</v>
      </c>
      <c r="E80" s="34"/>
      <c r="F80" s="144"/>
      <c r="G80" s="134">
        <f t="shared" ref="G80:I84" si="35">G81</f>
        <v>100000</v>
      </c>
      <c r="H80" s="134">
        <f t="shared" si="35"/>
        <v>0</v>
      </c>
      <c r="I80" s="29">
        <f t="shared" si="35"/>
        <v>0</v>
      </c>
      <c r="M80" s="256"/>
      <c r="N80" s="256"/>
      <c r="O80" s="256"/>
      <c r="P80" s="330"/>
    </row>
    <row r="81" spans="1:16" s="54" customFormat="1">
      <c r="A81" s="144">
        <v>65</v>
      </c>
      <c r="B81" s="143" t="s">
        <v>71</v>
      </c>
      <c r="C81" s="34" t="s">
        <v>159</v>
      </c>
      <c r="D81" s="34" t="s">
        <v>118</v>
      </c>
      <c r="E81" s="34"/>
      <c r="F81" s="144"/>
      <c r="G81" s="134">
        <f t="shared" si="35"/>
        <v>100000</v>
      </c>
      <c r="H81" s="134">
        <f t="shared" si="35"/>
        <v>0</v>
      </c>
      <c r="I81" s="29">
        <f t="shared" si="35"/>
        <v>0</v>
      </c>
      <c r="M81" s="256"/>
      <c r="N81" s="256"/>
      <c r="O81" s="256"/>
      <c r="P81" s="330"/>
    </row>
    <row r="82" spans="1:16" s="54" customFormat="1">
      <c r="A82" s="144">
        <v>66</v>
      </c>
      <c r="B82" s="298" t="s">
        <v>72</v>
      </c>
      <c r="C82" s="34" t="s">
        <v>159</v>
      </c>
      <c r="D82" s="34" t="s">
        <v>118</v>
      </c>
      <c r="E82" s="34" t="s">
        <v>210</v>
      </c>
      <c r="F82" s="144"/>
      <c r="G82" s="134">
        <f t="shared" si="35"/>
        <v>100000</v>
      </c>
      <c r="H82" s="134">
        <f t="shared" si="35"/>
        <v>0</v>
      </c>
      <c r="I82" s="29">
        <f t="shared" si="35"/>
        <v>0</v>
      </c>
      <c r="M82" s="256"/>
      <c r="N82" s="256"/>
      <c r="O82" s="256"/>
      <c r="P82" s="330"/>
    </row>
    <row r="83" spans="1:16" s="54" customFormat="1">
      <c r="A83" s="144">
        <v>67</v>
      </c>
      <c r="B83" s="298" t="s">
        <v>301</v>
      </c>
      <c r="C83" s="34" t="s">
        <v>159</v>
      </c>
      <c r="D83" s="34" t="s">
        <v>118</v>
      </c>
      <c r="E83" s="34" t="s">
        <v>241</v>
      </c>
      <c r="F83" s="144"/>
      <c r="G83" s="134">
        <f t="shared" si="35"/>
        <v>100000</v>
      </c>
      <c r="H83" s="134">
        <f t="shared" si="35"/>
        <v>0</v>
      </c>
      <c r="I83" s="29">
        <f t="shared" si="35"/>
        <v>0</v>
      </c>
      <c r="M83" s="256"/>
      <c r="N83" s="256"/>
      <c r="O83" s="256"/>
      <c r="P83" s="330"/>
    </row>
    <row r="84" spans="1:16" s="54" customFormat="1">
      <c r="A84" s="144">
        <v>68</v>
      </c>
      <c r="B84" s="143" t="s">
        <v>432</v>
      </c>
      <c r="C84" s="34" t="s">
        <v>159</v>
      </c>
      <c r="D84" s="34" t="s">
        <v>118</v>
      </c>
      <c r="E84" s="34" t="s">
        <v>433</v>
      </c>
      <c r="F84" s="144"/>
      <c r="G84" s="134">
        <f t="shared" si="35"/>
        <v>100000</v>
      </c>
      <c r="H84" s="134">
        <f t="shared" si="35"/>
        <v>0</v>
      </c>
      <c r="I84" s="29">
        <f t="shared" si="35"/>
        <v>0</v>
      </c>
      <c r="M84" s="256"/>
      <c r="N84" s="256"/>
      <c r="O84" s="256"/>
      <c r="P84" s="330"/>
    </row>
    <row r="85" spans="1:16" s="54" customFormat="1">
      <c r="A85" s="144">
        <v>69</v>
      </c>
      <c r="B85" s="143" t="s">
        <v>18</v>
      </c>
      <c r="C85" s="34" t="s">
        <v>159</v>
      </c>
      <c r="D85" s="34" t="s">
        <v>118</v>
      </c>
      <c r="E85" s="34" t="s">
        <v>433</v>
      </c>
      <c r="F85" s="144">
        <v>500</v>
      </c>
      <c r="G85" s="134">
        <f>G86</f>
        <v>100000</v>
      </c>
      <c r="H85" s="134">
        <f>H86</f>
        <v>0</v>
      </c>
      <c r="I85" s="29">
        <f>I86</f>
        <v>0</v>
      </c>
      <c r="M85" s="256"/>
      <c r="N85" s="256"/>
      <c r="O85" s="256"/>
      <c r="P85" s="330"/>
    </row>
    <row r="86" spans="1:16" s="54" customFormat="1">
      <c r="A86" s="144">
        <v>70</v>
      </c>
      <c r="B86" s="143" t="s">
        <v>25</v>
      </c>
      <c r="C86" s="34" t="s">
        <v>159</v>
      </c>
      <c r="D86" s="34" t="s">
        <v>118</v>
      </c>
      <c r="E86" s="34" t="s">
        <v>433</v>
      </c>
      <c r="F86" s="144">
        <v>540</v>
      </c>
      <c r="G86" s="134">
        <v>100000</v>
      </c>
      <c r="H86" s="134">
        <v>0</v>
      </c>
      <c r="I86" s="157">
        <v>0</v>
      </c>
      <c r="M86" s="256"/>
      <c r="N86" s="256"/>
      <c r="O86" s="256"/>
      <c r="P86" s="330"/>
    </row>
    <row r="87" spans="1:16" s="54" customFormat="1">
      <c r="A87" s="144">
        <v>71</v>
      </c>
      <c r="B87" s="143" t="s">
        <v>253</v>
      </c>
      <c r="C87" s="34" t="s">
        <v>159</v>
      </c>
      <c r="D87" s="34" t="s">
        <v>250</v>
      </c>
      <c r="E87" s="34"/>
      <c r="F87" s="144"/>
      <c r="G87" s="134">
        <f>G88</f>
        <v>49800</v>
      </c>
      <c r="H87" s="134">
        <f t="shared" ref="H87:I89" si="36">H88</f>
        <v>0</v>
      </c>
      <c r="I87" s="29">
        <f t="shared" si="36"/>
        <v>0</v>
      </c>
      <c r="M87" s="256"/>
      <c r="N87" s="256"/>
      <c r="O87" s="256"/>
      <c r="P87" s="330"/>
    </row>
    <row r="88" spans="1:16" s="54" customFormat="1">
      <c r="A88" s="144">
        <v>72</v>
      </c>
      <c r="B88" s="143" t="s">
        <v>466</v>
      </c>
      <c r="C88" s="34" t="s">
        <v>159</v>
      </c>
      <c r="D88" s="34" t="s">
        <v>545</v>
      </c>
      <c r="E88" s="34"/>
      <c r="F88" s="144"/>
      <c r="G88" s="134">
        <f>G89</f>
        <v>49800</v>
      </c>
      <c r="H88" s="134">
        <f t="shared" si="36"/>
        <v>0</v>
      </c>
      <c r="I88" s="29">
        <f t="shared" si="36"/>
        <v>0</v>
      </c>
      <c r="M88" s="256"/>
      <c r="N88" s="256"/>
      <c r="O88" s="256"/>
      <c r="P88" s="330"/>
    </row>
    <row r="89" spans="1:16" s="54" customFormat="1" ht="30">
      <c r="A89" s="144">
        <v>73</v>
      </c>
      <c r="B89" s="143" t="s">
        <v>251</v>
      </c>
      <c r="C89" s="34" t="s">
        <v>159</v>
      </c>
      <c r="D89" s="34" t="s">
        <v>545</v>
      </c>
      <c r="E89" s="34" t="s">
        <v>359</v>
      </c>
      <c r="F89" s="144"/>
      <c r="G89" s="134">
        <f>G90</f>
        <v>49800</v>
      </c>
      <c r="H89" s="134">
        <f t="shared" si="36"/>
        <v>0</v>
      </c>
      <c r="I89" s="29">
        <f t="shared" si="36"/>
        <v>0</v>
      </c>
      <c r="M89" s="256"/>
      <c r="N89" s="256"/>
      <c r="O89" s="256"/>
      <c r="P89" s="330"/>
    </row>
    <row r="90" spans="1:16" s="54" customFormat="1" ht="30">
      <c r="A90" s="144">
        <v>74</v>
      </c>
      <c r="B90" s="143" t="s">
        <v>314</v>
      </c>
      <c r="C90" s="34" t="s">
        <v>159</v>
      </c>
      <c r="D90" s="34" t="s">
        <v>545</v>
      </c>
      <c r="E90" s="34" t="s">
        <v>353</v>
      </c>
      <c r="F90" s="144"/>
      <c r="G90" s="134">
        <f>G92</f>
        <v>49800</v>
      </c>
      <c r="H90" s="134">
        <f t="shared" ref="H90:I90" si="37">H92</f>
        <v>0</v>
      </c>
      <c r="I90" s="29">
        <f t="shared" si="37"/>
        <v>0</v>
      </c>
      <c r="M90" s="256"/>
      <c r="N90" s="256"/>
      <c r="O90" s="256"/>
      <c r="P90" s="330"/>
    </row>
    <row r="91" spans="1:16" s="54" customFormat="1" ht="60">
      <c r="A91" s="144">
        <v>75</v>
      </c>
      <c r="B91" s="143" t="s">
        <v>568</v>
      </c>
      <c r="C91" s="34" t="s">
        <v>159</v>
      </c>
      <c r="D91" s="34" t="s">
        <v>545</v>
      </c>
      <c r="E91" s="34" t="s">
        <v>546</v>
      </c>
      <c r="F91" s="144"/>
      <c r="G91" s="134">
        <f>G92</f>
        <v>49800</v>
      </c>
      <c r="H91" s="134">
        <f t="shared" ref="H91:I92" si="38">H92</f>
        <v>0</v>
      </c>
      <c r="I91" s="29">
        <f t="shared" si="38"/>
        <v>0</v>
      </c>
      <c r="M91" s="256"/>
      <c r="N91" s="256"/>
      <c r="O91" s="256"/>
      <c r="P91" s="330"/>
    </row>
    <row r="92" spans="1:16" s="54" customFormat="1">
      <c r="A92" s="144">
        <v>76</v>
      </c>
      <c r="B92" s="143" t="s">
        <v>543</v>
      </c>
      <c r="C92" s="34" t="s">
        <v>159</v>
      </c>
      <c r="D92" s="34" t="s">
        <v>545</v>
      </c>
      <c r="E92" s="34" t="s">
        <v>546</v>
      </c>
      <c r="F92" s="144">
        <v>500</v>
      </c>
      <c r="G92" s="134">
        <f>G93</f>
        <v>49800</v>
      </c>
      <c r="H92" s="134">
        <f t="shared" si="38"/>
        <v>0</v>
      </c>
      <c r="I92" s="29">
        <f t="shared" si="38"/>
        <v>0</v>
      </c>
      <c r="M92" s="256"/>
      <c r="N92" s="256"/>
      <c r="O92" s="256"/>
      <c r="P92" s="330"/>
    </row>
    <row r="93" spans="1:16" s="54" customFormat="1">
      <c r="A93" s="144">
        <v>77</v>
      </c>
      <c r="B93" s="143" t="s">
        <v>544</v>
      </c>
      <c r="C93" s="34" t="s">
        <v>159</v>
      </c>
      <c r="D93" s="34" t="s">
        <v>545</v>
      </c>
      <c r="E93" s="34" t="s">
        <v>546</v>
      </c>
      <c r="F93" s="144">
        <v>540</v>
      </c>
      <c r="G93" s="134">
        <v>49800</v>
      </c>
      <c r="H93" s="134">
        <v>0</v>
      </c>
      <c r="I93" s="157">
        <v>0</v>
      </c>
      <c r="J93" s="330"/>
      <c r="M93" s="256"/>
      <c r="N93" s="256"/>
      <c r="O93" s="256"/>
      <c r="P93" s="330"/>
    </row>
    <row r="94" spans="1:16" s="54" customFormat="1">
      <c r="A94" s="144">
        <v>78</v>
      </c>
      <c r="B94" s="299" t="s">
        <v>406</v>
      </c>
      <c r="C94" s="34" t="s">
        <v>159</v>
      </c>
      <c r="D94" s="301" t="s">
        <v>407</v>
      </c>
      <c r="E94" s="34"/>
      <c r="F94" s="144"/>
      <c r="G94" s="134">
        <f t="shared" ref="G94:I98" si="39">G95</f>
        <v>200000</v>
      </c>
      <c r="H94" s="134">
        <f t="shared" si="39"/>
        <v>200000</v>
      </c>
      <c r="I94" s="29">
        <f t="shared" si="39"/>
        <v>200000</v>
      </c>
      <c r="M94" s="256"/>
      <c r="N94" s="256"/>
      <c r="O94" s="256"/>
      <c r="P94" s="330"/>
    </row>
    <row r="95" spans="1:16" s="54" customFormat="1">
      <c r="A95" s="144">
        <v>79</v>
      </c>
      <c r="B95" s="298" t="s">
        <v>23</v>
      </c>
      <c r="C95" s="34" t="s">
        <v>159</v>
      </c>
      <c r="D95" s="301" t="s">
        <v>407</v>
      </c>
      <c r="E95" s="34">
        <v>9200000000</v>
      </c>
      <c r="F95" s="144"/>
      <c r="G95" s="134">
        <f t="shared" si="39"/>
        <v>200000</v>
      </c>
      <c r="H95" s="134">
        <f t="shared" si="39"/>
        <v>200000</v>
      </c>
      <c r="I95" s="29">
        <f t="shared" si="39"/>
        <v>200000</v>
      </c>
      <c r="M95" s="256"/>
      <c r="N95" s="256"/>
      <c r="O95" s="256"/>
      <c r="P95" s="330"/>
    </row>
    <row r="96" spans="1:16" s="54" customFormat="1">
      <c r="A96" s="144">
        <v>80</v>
      </c>
      <c r="B96" s="298" t="s">
        <v>261</v>
      </c>
      <c r="C96" s="34" t="s">
        <v>159</v>
      </c>
      <c r="D96" s="301" t="s">
        <v>407</v>
      </c>
      <c r="E96" s="34">
        <v>9210000000</v>
      </c>
      <c r="F96" s="144"/>
      <c r="G96" s="134">
        <f t="shared" si="39"/>
        <v>200000</v>
      </c>
      <c r="H96" s="134">
        <f t="shared" si="39"/>
        <v>200000</v>
      </c>
      <c r="I96" s="29">
        <f t="shared" si="39"/>
        <v>200000</v>
      </c>
      <c r="M96" s="256"/>
      <c r="N96" s="256"/>
      <c r="O96" s="256"/>
      <c r="P96" s="330"/>
    </row>
    <row r="97" spans="1:32" s="54" customFormat="1">
      <c r="A97" s="144">
        <v>81</v>
      </c>
      <c r="B97" s="298" t="s">
        <v>408</v>
      </c>
      <c r="C97" s="34" t="s">
        <v>159</v>
      </c>
      <c r="D97" s="301" t="s">
        <v>407</v>
      </c>
      <c r="E97" s="34">
        <v>9210000910</v>
      </c>
      <c r="F97" s="144"/>
      <c r="G97" s="134">
        <f t="shared" si="39"/>
        <v>200000</v>
      </c>
      <c r="H97" s="134">
        <f t="shared" si="39"/>
        <v>200000</v>
      </c>
      <c r="I97" s="29">
        <f t="shared" si="39"/>
        <v>200000</v>
      </c>
      <c r="M97" s="256"/>
      <c r="N97" s="256"/>
      <c r="O97" s="256"/>
      <c r="P97" s="330"/>
    </row>
    <row r="98" spans="1:32" s="54" customFormat="1">
      <c r="A98" s="144">
        <v>82</v>
      </c>
      <c r="B98" s="298" t="s">
        <v>409</v>
      </c>
      <c r="C98" s="34" t="s">
        <v>159</v>
      </c>
      <c r="D98" s="301" t="s">
        <v>407</v>
      </c>
      <c r="E98" s="34">
        <v>9210000910</v>
      </c>
      <c r="F98" s="144">
        <v>700</v>
      </c>
      <c r="G98" s="134">
        <f t="shared" si="39"/>
        <v>200000</v>
      </c>
      <c r="H98" s="134">
        <f t="shared" si="39"/>
        <v>200000</v>
      </c>
      <c r="I98" s="29">
        <f t="shared" si="39"/>
        <v>200000</v>
      </c>
      <c r="M98" s="256"/>
      <c r="N98" s="256"/>
      <c r="O98" s="256"/>
      <c r="P98" s="330"/>
    </row>
    <row r="99" spans="1:32" s="54" customFormat="1">
      <c r="A99" s="144">
        <v>83</v>
      </c>
      <c r="B99" s="298" t="s">
        <v>410</v>
      </c>
      <c r="C99" s="34" t="s">
        <v>159</v>
      </c>
      <c r="D99" s="301" t="s">
        <v>407</v>
      </c>
      <c r="E99" s="34">
        <v>9210000910</v>
      </c>
      <c r="F99" s="144">
        <v>730</v>
      </c>
      <c r="G99" s="134">
        <v>200000</v>
      </c>
      <c r="H99" s="134">
        <v>200000</v>
      </c>
      <c r="I99" s="157">
        <v>200000</v>
      </c>
      <c r="M99" s="256"/>
      <c r="N99" s="256"/>
      <c r="O99" s="256"/>
      <c r="P99" s="330"/>
    </row>
    <row r="100" spans="1:32" ht="30">
      <c r="A100" s="144">
        <v>84</v>
      </c>
      <c r="B100" s="303" t="s">
        <v>229</v>
      </c>
      <c r="C100" s="34" t="s">
        <v>159</v>
      </c>
      <c r="D100" s="34" t="s">
        <v>129</v>
      </c>
      <c r="E100" s="34"/>
      <c r="F100" s="144"/>
      <c r="G100" s="134">
        <f>G101+G110</f>
        <v>161441948.36000001</v>
      </c>
      <c r="H100" s="134">
        <f t="shared" ref="H100" si="40">H101+H110</f>
        <v>139887890.00999999</v>
      </c>
      <c r="I100" s="29">
        <f t="shared" ref="I100" si="41">I101+I110</f>
        <v>139887890.00999999</v>
      </c>
      <c r="M100" s="256"/>
      <c r="N100" s="256"/>
      <c r="O100" s="256"/>
      <c r="P100" s="330"/>
      <c r="AE100" s="54"/>
      <c r="AF100" s="54"/>
    </row>
    <row r="101" spans="1:32" ht="30">
      <c r="A101" s="144">
        <v>85</v>
      </c>
      <c r="B101" s="143" t="s">
        <v>26</v>
      </c>
      <c r="C101" s="34" t="s">
        <v>159</v>
      </c>
      <c r="D101" s="34" t="s">
        <v>130</v>
      </c>
      <c r="E101" s="34"/>
      <c r="F101" s="144"/>
      <c r="G101" s="134">
        <f t="shared" ref="G101:I102" si="42">G102</f>
        <v>34921997.68</v>
      </c>
      <c r="H101" s="134">
        <f t="shared" si="42"/>
        <v>33446288.27</v>
      </c>
      <c r="I101" s="29">
        <f t="shared" si="42"/>
        <v>33446288.27</v>
      </c>
      <c r="M101" s="256"/>
      <c r="N101" s="256"/>
      <c r="O101" s="256"/>
      <c r="P101" s="330"/>
      <c r="AE101" s="54"/>
      <c r="AF101" s="54"/>
    </row>
    <row r="102" spans="1:32">
      <c r="A102" s="144">
        <v>86</v>
      </c>
      <c r="B102" s="302" t="s">
        <v>319</v>
      </c>
      <c r="C102" s="34" t="s">
        <v>159</v>
      </c>
      <c r="D102" s="34" t="s">
        <v>130</v>
      </c>
      <c r="E102" s="34" t="s">
        <v>168</v>
      </c>
      <c r="F102" s="144"/>
      <c r="G102" s="134">
        <f t="shared" si="42"/>
        <v>34921997.68</v>
      </c>
      <c r="H102" s="134">
        <f t="shared" si="42"/>
        <v>33446288.27</v>
      </c>
      <c r="I102" s="29">
        <f t="shared" si="42"/>
        <v>33446288.27</v>
      </c>
      <c r="M102" s="256"/>
      <c r="N102" s="256"/>
      <c r="O102" s="256"/>
      <c r="P102" s="330"/>
      <c r="AE102" s="54"/>
      <c r="AF102" s="54"/>
    </row>
    <row r="103" spans="1:32" ht="30">
      <c r="A103" s="144">
        <v>87</v>
      </c>
      <c r="B103" s="302" t="s">
        <v>27</v>
      </c>
      <c r="C103" s="34" t="s">
        <v>159</v>
      </c>
      <c r="D103" s="34" t="s">
        <v>130</v>
      </c>
      <c r="E103" s="34" t="s">
        <v>174</v>
      </c>
      <c r="F103" s="144"/>
      <c r="G103" s="134">
        <f t="shared" ref="G103:H103" si="43">G104+G107</f>
        <v>34921997.68</v>
      </c>
      <c r="H103" s="134">
        <f t="shared" si="43"/>
        <v>33446288.27</v>
      </c>
      <c r="I103" s="29">
        <f t="shared" ref="I103" si="44">I104+I107</f>
        <v>33446288.27</v>
      </c>
      <c r="M103" s="256"/>
      <c r="N103" s="256"/>
      <c r="O103" s="256"/>
      <c r="P103" s="330"/>
      <c r="AE103" s="54"/>
      <c r="AF103" s="54"/>
    </row>
    <row r="104" spans="1:32" ht="90">
      <c r="A104" s="144">
        <v>88</v>
      </c>
      <c r="B104" s="302" t="s">
        <v>399</v>
      </c>
      <c r="C104" s="34" t="s">
        <v>159</v>
      </c>
      <c r="D104" s="34" t="s">
        <v>130</v>
      </c>
      <c r="E104" s="34" t="s">
        <v>175</v>
      </c>
      <c r="F104" s="144"/>
      <c r="G104" s="134">
        <f t="shared" ref="G104:I104" si="45">G105</f>
        <v>15291000</v>
      </c>
      <c r="H104" s="134">
        <f t="shared" si="45"/>
        <v>12226600</v>
      </c>
      <c r="I104" s="29">
        <f t="shared" si="45"/>
        <v>12226600</v>
      </c>
      <c r="M104" s="256"/>
      <c r="N104" s="256"/>
      <c r="O104" s="256"/>
      <c r="P104" s="330"/>
      <c r="AE104" s="54"/>
      <c r="AF104" s="54"/>
    </row>
    <row r="105" spans="1:32">
      <c r="A105" s="144">
        <v>89</v>
      </c>
      <c r="B105" s="143" t="s">
        <v>18</v>
      </c>
      <c r="C105" s="34" t="s">
        <v>159</v>
      </c>
      <c r="D105" s="34" t="s">
        <v>130</v>
      </c>
      <c r="E105" s="34" t="s">
        <v>175</v>
      </c>
      <c r="F105" s="144">
        <v>500</v>
      </c>
      <c r="G105" s="134">
        <f t="shared" ref="G105:I105" si="46">G106</f>
        <v>15291000</v>
      </c>
      <c r="H105" s="134">
        <f t="shared" si="46"/>
        <v>12226600</v>
      </c>
      <c r="I105" s="29">
        <f t="shared" si="46"/>
        <v>12226600</v>
      </c>
      <c r="M105" s="256"/>
      <c r="N105" s="256"/>
      <c r="O105" s="256"/>
      <c r="P105" s="330"/>
      <c r="AE105" s="54"/>
      <c r="AF105" s="54"/>
    </row>
    <row r="106" spans="1:32">
      <c r="A106" s="144">
        <v>90</v>
      </c>
      <c r="B106" s="143" t="s">
        <v>28</v>
      </c>
      <c r="C106" s="34" t="s">
        <v>159</v>
      </c>
      <c r="D106" s="34" t="s">
        <v>130</v>
      </c>
      <c r="E106" s="34" t="s">
        <v>175</v>
      </c>
      <c r="F106" s="144">
        <v>510</v>
      </c>
      <c r="G106" s="134">
        <v>15291000</v>
      </c>
      <c r="H106" s="134">
        <v>12226600</v>
      </c>
      <c r="I106" s="157">
        <v>12226600</v>
      </c>
      <c r="M106" s="255"/>
      <c r="N106" s="255"/>
      <c r="O106" s="256"/>
      <c r="P106" s="330"/>
      <c r="AE106" s="54"/>
      <c r="AF106" s="54"/>
    </row>
    <row r="107" spans="1:32" ht="75">
      <c r="A107" s="144">
        <v>91</v>
      </c>
      <c r="B107" s="302" t="s">
        <v>370</v>
      </c>
      <c r="C107" s="34" t="s">
        <v>159</v>
      </c>
      <c r="D107" s="34" t="s">
        <v>130</v>
      </c>
      <c r="E107" s="34" t="s">
        <v>176</v>
      </c>
      <c r="F107" s="144"/>
      <c r="G107" s="134">
        <f t="shared" ref="G107:I108" si="47">G108</f>
        <v>19630997.68</v>
      </c>
      <c r="H107" s="134">
        <f t="shared" si="47"/>
        <v>21219688.27</v>
      </c>
      <c r="I107" s="29">
        <f t="shared" si="47"/>
        <v>21219688.27</v>
      </c>
      <c r="M107" s="256"/>
      <c r="N107" s="256"/>
      <c r="O107" s="256"/>
      <c r="P107" s="330"/>
      <c r="AE107" s="54"/>
      <c r="AF107" s="54"/>
    </row>
    <row r="108" spans="1:32">
      <c r="A108" s="144">
        <v>92</v>
      </c>
      <c r="B108" s="143" t="s">
        <v>18</v>
      </c>
      <c r="C108" s="34" t="s">
        <v>159</v>
      </c>
      <c r="D108" s="34" t="s">
        <v>130</v>
      </c>
      <c r="E108" s="34" t="s">
        <v>176</v>
      </c>
      <c r="F108" s="144">
        <v>500</v>
      </c>
      <c r="G108" s="134">
        <f t="shared" si="47"/>
        <v>19630997.68</v>
      </c>
      <c r="H108" s="134">
        <f t="shared" si="47"/>
        <v>21219688.27</v>
      </c>
      <c r="I108" s="29">
        <f t="shared" si="47"/>
        <v>21219688.27</v>
      </c>
      <c r="M108" s="256"/>
      <c r="N108" s="256"/>
      <c r="O108" s="256"/>
      <c r="P108" s="330"/>
      <c r="AE108" s="54"/>
      <c r="AF108" s="54"/>
    </row>
    <row r="109" spans="1:32">
      <c r="A109" s="144">
        <v>93</v>
      </c>
      <c r="B109" s="143" t="s">
        <v>28</v>
      </c>
      <c r="C109" s="34" t="s">
        <v>159</v>
      </c>
      <c r="D109" s="34" t="s">
        <v>130</v>
      </c>
      <c r="E109" s="34" t="s">
        <v>176</v>
      </c>
      <c r="F109" s="144">
        <v>510</v>
      </c>
      <c r="G109" s="134">
        <f>19630997.68</f>
        <v>19630997.68</v>
      </c>
      <c r="H109" s="134">
        <v>21219688.27</v>
      </c>
      <c r="I109" s="157">
        <v>21219688.27</v>
      </c>
      <c r="M109" s="256"/>
      <c r="N109" s="256"/>
      <c r="O109" s="256"/>
      <c r="P109" s="330"/>
      <c r="AE109" s="54"/>
      <c r="AF109" s="54"/>
    </row>
    <row r="110" spans="1:32">
      <c r="A110" s="144">
        <v>94</v>
      </c>
      <c r="B110" s="297" t="s">
        <v>230</v>
      </c>
      <c r="C110" s="34" t="s">
        <v>159</v>
      </c>
      <c r="D110" s="34" t="s">
        <v>131</v>
      </c>
      <c r="E110" s="34"/>
      <c r="F110" s="144"/>
      <c r="G110" s="134">
        <f>G111+G116</f>
        <v>126519950.68000001</v>
      </c>
      <c r="H110" s="134">
        <f>H111+H121</f>
        <v>106441601.73999999</v>
      </c>
      <c r="I110" s="29">
        <f>I111+I121</f>
        <v>106441601.73999999</v>
      </c>
      <c r="M110" s="256"/>
      <c r="N110" s="256"/>
      <c r="O110" s="256"/>
      <c r="P110" s="330"/>
      <c r="AE110" s="54"/>
      <c r="AF110" s="54"/>
    </row>
    <row r="111" spans="1:32">
      <c r="A111" s="144">
        <v>95</v>
      </c>
      <c r="B111" s="302" t="s">
        <v>319</v>
      </c>
      <c r="C111" s="34" t="s">
        <v>159</v>
      </c>
      <c r="D111" s="34" t="s">
        <v>131</v>
      </c>
      <c r="E111" s="34" t="s">
        <v>168</v>
      </c>
      <c r="F111" s="144"/>
      <c r="G111" s="134">
        <f t="shared" ref="G111:I111" si="48">G112</f>
        <v>122136589.68000001</v>
      </c>
      <c r="H111" s="134">
        <f t="shared" si="48"/>
        <v>106441601.73999999</v>
      </c>
      <c r="I111" s="29">
        <f t="shared" si="48"/>
        <v>106441601.73999999</v>
      </c>
      <c r="M111" s="256"/>
      <c r="N111" s="256"/>
      <c r="O111" s="256"/>
      <c r="P111" s="330"/>
      <c r="AE111" s="54"/>
      <c r="AF111" s="54"/>
    </row>
    <row r="112" spans="1:32" ht="30">
      <c r="A112" s="144">
        <v>96</v>
      </c>
      <c r="B112" s="302" t="s">
        <v>27</v>
      </c>
      <c r="C112" s="34" t="s">
        <v>159</v>
      </c>
      <c r="D112" s="34" t="s">
        <v>131</v>
      </c>
      <c r="E112" s="34" t="s">
        <v>174</v>
      </c>
      <c r="F112" s="144"/>
      <c r="G112" s="134">
        <f t="shared" ref="G112" si="49">G113</f>
        <v>122136589.68000001</v>
      </c>
      <c r="H112" s="134">
        <f>H113</f>
        <v>106441601.73999999</v>
      </c>
      <c r="I112" s="29">
        <f>I113</f>
        <v>106441601.73999999</v>
      </c>
      <c r="M112" s="256"/>
      <c r="N112" s="256"/>
      <c r="O112" s="256"/>
      <c r="P112" s="330"/>
      <c r="AE112" s="54"/>
      <c r="AF112" s="54"/>
    </row>
    <row r="113" spans="1:32" ht="75">
      <c r="A113" s="144">
        <v>97</v>
      </c>
      <c r="B113" s="302" t="s">
        <v>400</v>
      </c>
      <c r="C113" s="34" t="s">
        <v>159</v>
      </c>
      <c r="D113" s="34" t="s">
        <v>131</v>
      </c>
      <c r="E113" s="34" t="s">
        <v>177</v>
      </c>
      <c r="F113" s="144"/>
      <c r="G113" s="134">
        <f t="shared" ref="G113" si="50">G114</f>
        <v>122136589.68000001</v>
      </c>
      <c r="H113" s="134">
        <f>H114</f>
        <v>106441601.73999999</v>
      </c>
      <c r="I113" s="29">
        <f>I114</f>
        <v>106441601.73999999</v>
      </c>
      <c r="J113" s="335">
        <v>3800995.68</v>
      </c>
      <c r="M113" s="256"/>
      <c r="N113" s="256"/>
      <c r="O113" s="256"/>
      <c r="P113" s="330"/>
      <c r="AE113" s="54"/>
      <c r="AF113" s="54"/>
    </row>
    <row r="114" spans="1:32">
      <c r="A114" s="144">
        <v>98</v>
      </c>
      <c r="B114" s="143" t="s">
        <v>18</v>
      </c>
      <c r="C114" s="34" t="s">
        <v>159</v>
      </c>
      <c r="D114" s="34" t="s">
        <v>131</v>
      </c>
      <c r="E114" s="34" t="s">
        <v>177</v>
      </c>
      <c r="F114" s="144">
        <v>500</v>
      </c>
      <c r="G114" s="134">
        <f t="shared" ref="G114:I114" si="51">G115</f>
        <v>122136589.68000001</v>
      </c>
      <c r="H114" s="134">
        <f t="shared" si="51"/>
        <v>106441601.73999999</v>
      </c>
      <c r="I114" s="29">
        <f t="shared" si="51"/>
        <v>106441601.73999999</v>
      </c>
      <c r="J114" s="335">
        <v>1161375.6599999999</v>
      </c>
      <c r="M114" s="256"/>
      <c r="N114" s="256"/>
      <c r="O114" s="256"/>
      <c r="P114" s="330"/>
      <c r="AE114" s="54"/>
      <c r="AF114" s="54"/>
    </row>
    <row r="115" spans="1:32">
      <c r="A115" s="144">
        <v>99</v>
      </c>
      <c r="B115" s="143" t="s">
        <v>25</v>
      </c>
      <c r="C115" s="34" t="s">
        <v>159</v>
      </c>
      <c r="D115" s="34" t="s">
        <v>131</v>
      </c>
      <c r="E115" s="34" t="s">
        <v>177</v>
      </c>
      <c r="F115" s="144">
        <v>540</v>
      </c>
      <c r="G115" s="134">
        <f>104965892.34+7437526+236800+4734000-200000+1161375.66+3800995.68</f>
        <v>122136589.68000001</v>
      </c>
      <c r="H115" s="134">
        <v>106441601.73999999</v>
      </c>
      <c r="I115" s="29">
        <v>106441601.73999999</v>
      </c>
      <c r="J115" s="335">
        <v>-200000</v>
      </c>
      <c r="M115" s="256"/>
      <c r="N115" s="256"/>
      <c r="O115" s="256"/>
      <c r="P115" s="330"/>
      <c r="AE115" s="54"/>
      <c r="AF115" s="54"/>
    </row>
    <row r="116" spans="1:32">
      <c r="A116" s="144">
        <v>100</v>
      </c>
      <c r="B116" s="143" t="s">
        <v>285</v>
      </c>
      <c r="C116" s="34" t="s">
        <v>159</v>
      </c>
      <c r="D116" s="34" t="s">
        <v>131</v>
      </c>
      <c r="E116" s="34" t="s">
        <v>178</v>
      </c>
      <c r="F116" s="144"/>
      <c r="G116" s="134">
        <f>G117+G121</f>
        <v>4383361</v>
      </c>
      <c r="H116" s="134">
        <f t="shared" ref="H116:I116" si="52">H117+H121</f>
        <v>0</v>
      </c>
      <c r="I116" s="134">
        <f t="shared" si="52"/>
        <v>0</v>
      </c>
      <c r="J116" s="254"/>
      <c r="M116" s="256"/>
      <c r="N116" s="256"/>
      <c r="O116" s="256"/>
      <c r="P116" s="330"/>
      <c r="AE116" s="54"/>
      <c r="AF116" s="54"/>
    </row>
    <row r="117" spans="1:32" ht="29.25" customHeight="1">
      <c r="A117" s="144">
        <v>101</v>
      </c>
      <c r="B117" s="143" t="s">
        <v>382</v>
      </c>
      <c r="C117" s="34" t="s">
        <v>159</v>
      </c>
      <c r="D117" s="34" t="s">
        <v>131</v>
      </c>
      <c r="E117" s="34" t="s">
        <v>179</v>
      </c>
      <c r="F117" s="144"/>
      <c r="G117" s="134">
        <f>G118</f>
        <v>87100</v>
      </c>
      <c r="H117" s="134">
        <f t="shared" ref="H117:I117" si="53">H118</f>
        <v>0</v>
      </c>
      <c r="I117" s="134">
        <f t="shared" si="53"/>
        <v>0</v>
      </c>
      <c r="J117" s="254"/>
      <c r="M117" s="256"/>
      <c r="N117" s="256"/>
      <c r="O117" s="256"/>
      <c r="P117" s="330"/>
      <c r="AE117" s="54"/>
      <c r="AF117" s="54"/>
    </row>
    <row r="118" spans="1:32" ht="51" customHeight="1">
      <c r="A118" s="144">
        <v>102</v>
      </c>
      <c r="B118" s="143" t="s">
        <v>609</v>
      </c>
      <c r="C118" s="34" t="s">
        <v>159</v>
      </c>
      <c r="D118" s="34" t="s">
        <v>131</v>
      </c>
      <c r="E118" s="34" t="s">
        <v>610</v>
      </c>
      <c r="F118" s="144"/>
      <c r="G118" s="134">
        <f>G119</f>
        <v>87100</v>
      </c>
      <c r="H118" s="134">
        <f t="shared" ref="H118:I118" si="54">H119</f>
        <v>0</v>
      </c>
      <c r="I118" s="134">
        <f t="shared" si="54"/>
        <v>0</v>
      </c>
      <c r="J118" s="254"/>
      <c r="M118" s="256"/>
      <c r="N118" s="256"/>
      <c r="O118" s="256"/>
      <c r="P118" s="330"/>
      <c r="AE118" s="54"/>
      <c r="AF118" s="54"/>
    </row>
    <row r="119" spans="1:32" ht="27.75" customHeight="1">
      <c r="A119" s="144">
        <v>103</v>
      </c>
      <c r="B119" s="143" t="s">
        <v>18</v>
      </c>
      <c r="C119" s="34" t="s">
        <v>159</v>
      </c>
      <c r="D119" s="34" t="s">
        <v>131</v>
      </c>
      <c r="E119" s="34" t="s">
        <v>610</v>
      </c>
      <c r="F119" s="144">
        <v>500</v>
      </c>
      <c r="G119" s="134">
        <f>G120</f>
        <v>87100</v>
      </c>
      <c r="H119" s="134">
        <f t="shared" ref="H119:I119" si="55">H120</f>
        <v>0</v>
      </c>
      <c r="I119" s="134">
        <f t="shared" si="55"/>
        <v>0</v>
      </c>
      <c r="J119" s="254"/>
      <c r="M119" s="256"/>
      <c r="N119" s="256"/>
      <c r="O119" s="256"/>
      <c r="P119" s="330"/>
      <c r="AE119" s="54"/>
      <c r="AF119" s="54"/>
    </row>
    <row r="120" spans="1:32" ht="19.5" customHeight="1">
      <c r="A120" s="144">
        <v>104</v>
      </c>
      <c r="B120" s="143" t="s">
        <v>25</v>
      </c>
      <c r="C120" s="34" t="s">
        <v>159</v>
      </c>
      <c r="D120" s="34" t="s">
        <v>131</v>
      </c>
      <c r="E120" s="34" t="s">
        <v>610</v>
      </c>
      <c r="F120" s="144">
        <v>540</v>
      </c>
      <c r="G120" s="134">
        <v>87100</v>
      </c>
      <c r="H120" s="134">
        <v>0</v>
      </c>
      <c r="I120" s="29">
        <v>0</v>
      </c>
      <c r="J120" s="245">
        <v>87100</v>
      </c>
      <c r="M120" s="256"/>
      <c r="N120" s="256"/>
      <c r="O120" s="256"/>
      <c r="P120" s="330"/>
      <c r="AE120" s="54"/>
      <c r="AF120" s="54"/>
    </row>
    <row r="121" spans="1:32" ht="30">
      <c r="A121" s="144">
        <v>105</v>
      </c>
      <c r="B121" s="143" t="s">
        <v>382</v>
      </c>
      <c r="C121" s="34" t="s">
        <v>159</v>
      </c>
      <c r="D121" s="34" t="s">
        <v>131</v>
      </c>
      <c r="E121" s="34" t="s">
        <v>193</v>
      </c>
      <c r="F121" s="144"/>
      <c r="G121" s="134">
        <f>G122</f>
        <v>4296261</v>
      </c>
      <c r="H121" s="134">
        <f t="shared" ref="H121:I122" si="56">H122</f>
        <v>0</v>
      </c>
      <c r="I121" s="29">
        <f t="shared" si="56"/>
        <v>0</v>
      </c>
      <c r="J121" s="254"/>
      <c r="M121" s="256"/>
      <c r="N121" s="256"/>
      <c r="O121" s="256"/>
      <c r="P121" s="330"/>
      <c r="AE121" s="54"/>
      <c r="AF121" s="54"/>
    </row>
    <row r="122" spans="1:32">
      <c r="A122" s="144">
        <v>106</v>
      </c>
      <c r="B122" s="143" t="s">
        <v>291</v>
      </c>
      <c r="C122" s="34" t="s">
        <v>159</v>
      </c>
      <c r="D122" s="34" t="s">
        <v>131</v>
      </c>
      <c r="E122" s="34" t="s">
        <v>193</v>
      </c>
      <c r="F122" s="144"/>
      <c r="G122" s="134">
        <f>G123</f>
        <v>4296261</v>
      </c>
      <c r="H122" s="134">
        <f t="shared" si="56"/>
        <v>0</v>
      </c>
      <c r="I122" s="29">
        <f t="shared" si="56"/>
        <v>0</v>
      </c>
      <c r="J122" s="254"/>
      <c r="M122" s="256"/>
      <c r="N122" s="256"/>
      <c r="O122" s="256"/>
      <c r="P122" s="330"/>
      <c r="AE122" s="54"/>
      <c r="AF122" s="54"/>
    </row>
    <row r="123" spans="1:32" ht="45">
      <c r="A123" s="144">
        <v>107</v>
      </c>
      <c r="B123" s="143" t="s">
        <v>547</v>
      </c>
      <c r="C123" s="34" t="s">
        <v>159</v>
      </c>
      <c r="D123" s="34" t="s">
        <v>131</v>
      </c>
      <c r="E123" s="34" t="s">
        <v>548</v>
      </c>
      <c r="F123" s="144"/>
      <c r="G123" s="134">
        <f>G124</f>
        <v>4296261</v>
      </c>
      <c r="H123" s="134">
        <f>H124</f>
        <v>0</v>
      </c>
      <c r="I123" s="29">
        <f>I124</f>
        <v>0</v>
      </c>
      <c r="J123" s="254"/>
      <c r="M123" s="256"/>
      <c r="N123" s="256"/>
      <c r="O123" s="256"/>
      <c r="P123" s="330"/>
      <c r="AE123" s="54"/>
      <c r="AF123" s="54"/>
    </row>
    <row r="124" spans="1:32">
      <c r="A124" s="144">
        <v>108</v>
      </c>
      <c r="B124" s="143" t="s">
        <v>543</v>
      </c>
      <c r="C124" s="34" t="s">
        <v>159</v>
      </c>
      <c r="D124" s="34" t="s">
        <v>131</v>
      </c>
      <c r="E124" s="34" t="s">
        <v>548</v>
      </c>
      <c r="F124" s="144">
        <v>500</v>
      </c>
      <c r="G124" s="134">
        <f>G125</f>
        <v>4296261</v>
      </c>
      <c r="H124" s="134">
        <f>H125</f>
        <v>0</v>
      </c>
      <c r="I124" s="29">
        <f>I125</f>
        <v>0</v>
      </c>
      <c r="J124" s="254"/>
      <c r="M124" s="256"/>
      <c r="N124" s="256"/>
      <c r="O124" s="256"/>
      <c r="P124" s="330"/>
      <c r="AE124" s="54"/>
      <c r="AF124" s="54"/>
    </row>
    <row r="125" spans="1:32">
      <c r="A125" s="144">
        <v>109</v>
      </c>
      <c r="B125" s="143" t="s">
        <v>544</v>
      </c>
      <c r="C125" s="34" t="s">
        <v>159</v>
      </c>
      <c r="D125" s="34" t="s">
        <v>131</v>
      </c>
      <c r="E125" s="34" t="s">
        <v>548</v>
      </c>
      <c r="F125" s="144">
        <v>540</v>
      </c>
      <c r="G125" s="134">
        <v>4296261</v>
      </c>
      <c r="H125" s="134">
        <v>0</v>
      </c>
      <c r="I125" s="29">
        <v>0</v>
      </c>
      <c r="J125" s="254"/>
      <c r="M125" s="256"/>
      <c r="N125" s="256"/>
      <c r="O125" s="256"/>
      <c r="P125" s="330"/>
      <c r="AE125" s="54"/>
      <c r="AF125" s="54"/>
    </row>
    <row r="126" spans="1:32" ht="24.75" customHeight="1">
      <c r="A126" s="144">
        <v>110</v>
      </c>
      <c r="B126" s="304" t="s">
        <v>231</v>
      </c>
      <c r="C126" s="294" t="s">
        <v>153</v>
      </c>
      <c r="D126" s="295"/>
      <c r="E126" s="294"/>
      <c r="F126" s="295"/>
      <c r="G126" s="296">
        <f>G127+G215+G268+G308+G317+G286+G195</f>
        <v>192688874.28999999</v>
      </c>
      <c r="H126" s="296">
        <f>H127+H215+H268+H308+H317+H286+H195</f>
        <v>176660876.08000001</v>
      </c>
      <c r="I126" s="46">
        <f>I127+I215+I268+I308+I317+I286+I195</f>
        <v>176485901.22</v>
      </c>
      <c r="M126" s="256"/>
      <c r="N126" s="256"/>
      <c r="O126" s="256"/>
      <c r="P126" s="330"/>
      <c r="AE126" s="54"/>
      <c r="AF126" s="54"/>
    </row>
    <row r="127" spans="1:32">
      <c r="A127" s="144">
        <v>111</v>
      </c>
      <c r="B127" s="297" t="s">
        <v>85</v>
      </c>
      <c r="C127" s="34" t="s">
        <v>153</v>
      </c>
      <c r="D127" s="34" t="s">
        <v>86</v>
      </c>
      <c r="E127" s="34"/>
      <c r="F127" s="144"/>
      <c r="G127" s="134">
        <f>G128+G134+G147+G153+G159</f>
        <v>62655336.970000006</v>
      </c>
      <c r="H127" s="134">
        <f>H128+H134+H147+H153+H159</f>
        <v>51811614.350000009</v>
      </c>
      <c r="I127" s="29">
        <f>I128+I134+I147+I153+I159</f>
        <v>51859314.350000009</v>
      </c>
      <c r="M127" s="256"/>
      <c r="N127" s="256"/>
      <c r="O127" s="256"/>
      <c r="P127" s="330"/>
      <c r="AE127" s="54"/>
      <c r="AF127" s="54"/>
    </row>
    <row r="128" spans="1:32" ht="30">
      <c r="A128" s="144">
        <v>112</v>
      </c>
      <c r="B128" s="143" t="s">
        <v>87</v>
      </c>
      <c r="C128" s="34" t="s">
        <v>153</v>
      </c>
      <c r="D128" s="34" t="s">
        <v>88</v>
      </c>
      <c r="E128" s="34"/>
      <c r="F128" s="144"/>
      <c r="G128" s="134">
        <f t="shared" ref="G128:I132" si="57">G129</f>
        <v>2019588.88</v>
      </c>
      <c r="H128" s="134">
        <f t="shared" si="57"/>
        <v>2464199.7799999998</v>
      </c>
      <c r="I128" s="29">
        <f t="shared" si="57"/>
        <v>2464199.7799999998</v>
      </c>
      <c r="M128" s="256"/>
      <c r="N128" s="256"/>
      <c r="O128" s="256"/>
      <c r="P128" s="330"/>
      <c r="AE128" s="54"/>
      <c r="AF128" s="54"/>
    </row>
    <row r="129" spans="1:32">
      <c r="A129" s="144">
        <v>113</v>
      </c>
      <c r="B129" s="299" t="s">
        <v>255</v>
      </c>
      <c r="C129" s="34" t="s">
        <v>153</v>
      </c>
      <c r="D129" s="34" t="s">
        <v>88</v>
      </c>
      <c r="E129" s="34">
        <v>8500000000</v>
      </c>
      <c r="F129" s="144"/>
      <c r="G129" s="134">
        <f t="shared" si="57"/>
        <v>2019588.88</v>
      </c>
      <c r="H129" s="134">
        <f t="shared" si="57"/>
        <v>2464199.7799999998</v>
      </c>
      <c r="I129" s="29">
        <f t="shared" si="57"/>
        <v>2464199.7799999998</v>
      </c>
      <c r="M129" s="256"/>
      <c r="N129" s="256"/>
      <c r="O129" s="256"/>
      <c r="P129" s="330"/>
      <c r="AE129" s="54"/>
      <c r="AF129" s="54"/>
    </row>
    <row r="130" spans="1:32">
      <c r="A130" s="144">
        <v>114</v>
      </c>
      <c r="B130" s="299" t="s">
        <v>256</v>
      </c>
      <c r="C130" s="34" t="s">
        <v>153</v>
      </c>
      <c r="D130" s="34" t="s">
        <v>88</v>
      </c>
      <c r="E130" s="34">
        <v>8510000000</v>
      </c>
      <c r="F130" s="144"/>
      <c r="G130" s="134">
        <f t="shared" si="57"/>
        <v>2019588.88</v>
      </c>
      <c r="H130" s="134">
        <f t="shared" si="57"/>
        <v>2464199.7799999998</v>
      </c>
      <c r="I130" s="29">
        <f t="shared" si="57"/>
        <v>2464199.7799999998</v>
      </c>
      <c r="M130" s="256"/>
      <c r="N130" s="256"/>
      <c r="O130" s="256"/>
      <c r="P130" s="330"/>
      <c r="AE130" s="54"/>
      <c r="AF130" s="54"/>
    </row>
    <row r="131" spans="1:32" ht="30">
      <c r="A131" s="144">
        <v>115</v>
      </c>
      <c r="B131" s="298" t="s">
        <v>257</v>
      </c>
      <c r="C131" s="34" t="s">
        <v>153</v>
      </c>
      <c r="D131" s="34" t="s">
        <v>88</v>
      </c>
      <c r="E131" s="34">
        <v>8510000210</v>
      </c>
      <c r="F131" s="144"/>
      <c r="G131" s="134">
        <f t="shared" si="57"/>
        <v>2019588.88</v>
      </c>
      <c r="H131" s="134">
        <f t="shared" si="57"/>
        <v>2464199.7799999998</v>
      </c>
      <c r="I131" s="29">
        <f t="shared" si="57"/>
        <v>2464199.7799999998</v>
      </c>
      <c r="M131" s="256"/>
      <c r="N131" s="256"/>
      <c r="O131" s="256"/>
      <c r="P131" s="330"/>
      <c r="AE131" s="54"/>
      <c r="AF131" s="54"/>
    </row>
    <row r="132" spans="1:32" ht="45">
      <c r="A132" s="144">
        <v>116</v>
      </c>
      <c r="B132" s="298" t="s">
        <v>146</v>
      </c>
      <c r="C132" s="34" t="s">
        <v>153</v>
      </c>
      <c r="D132" s="34" t="s">
        <v>88</v>
      </c>
      <c r="E132" s="34">
        <v>8510000210</v>
      </c>
      <c r="F132" s="144">
        <v>100</v>
      </c>
      <c r="G132" s="134">
        <f t="shared" si="57"/>
        <v>2019588.88</v>
      </c>
      <c r="H132" s="134">
        <f t="shared" si="57"/>
        <v>2464199.7799999998</v>
      </c>
      <c r="I132" s="29">
        <f t="shared" si="57"/>
        <v>2464199.7799999998</v>
      </c>
      <c r="M132" s="256"/>
      <c r="N132" s="256"/>
      <c r="O132" s="256"/>
      <c r="P132" s="330"/>
      <c r="AE132" s="54"/>
      <c r="AF132" s="54"/>
    </row>
    <row r="133" spans="1:32">
      <c r="A133" s="144">
        <v>117</v>
      </c>
      <c r="B133" s="305" t="s">
        <v>16</v>
      </c>
      <c r="C133" s="34" t="s">
        <v>153</v>
      </c>
      <c r="D133" s="34" t="s">
        <v>88</v>
      </c>
      <c r="E133" s="34">
        <v>8510000210</v>
      </c>
      <c r="F133" s="144">
        <v>120</v>
      </c>
      <c r="G133" s="134">
        <f>2464199.78+63277.2-457486.1-50402</f>
        <v>2019588.88</v>
      </c>
      <c r="H133" s="134">
        <v>2464199.7799999998</v>
      </c>
      <c r="I133" s="157">
        <v>2464199.7799999998</v>
      </c>
      <c r="J133" s="335">
        <v>-507888.1</v>
      </c>
      <c r="M133" s="256"/>
      <c r="N133" s="256"/>
      <c r="O133" s="256"/>
      <c r="P133" s="330"/>
      <c r="AE133" s="54"/>
      <c r="AF133" s="54"/>
    </row>
    <row r="134" spans="1:32" ht="30">
      <c r="A134" s="144">
        <v>118</v>
      </c>
      <c r="B134" s="143" t="s">
        <v>17</v>
      </c>
      <c r="C134" s="34" t="s">
        <v>153</v>
      </c>
      <c r="D134" s="34" t="s">
        <v>91</v>
      </c>
      <c r="E134" s="34"/>
      <c r="F134" s="144"/>
      <c r="G134" s="134">
        <f t="shared" ref="G134:I135" si="58">G135</f>
        <v>46821078.600000001</v>
      </c>
      <c r="H134" s="134">
        <f t="shared" si="58"/>
        <v>40547964.570000008</v>
      </c>
      <c r="I134" s="29">
        <f t="shared" si="58"/>
        <v>40547964.570000008</v>
      </c>
      <c r="M134" s="256"/>
      <c r="N134" s="256"/>
      <c r="O134" s="256"/>
      <c r="P134" s="330"/>
      <c r="AE134" s="54"/>
      <c r="AF134" s="54"/>
    </row>
    <row r="135" spans="1:32">
      <c r="A135" s="144">
        <v>119</v>
      </c>
      <c r="B135" s="299" t="s">
        <v>255</v>
      </c>
      <c r="C135" s="34" t="s">
        <v>153</v>
      </c>
      <c r="D135" s="34" t="s">
        <v>91</v>
      </c>
      <c r="E135" s="34" t="s">
        <v>258</v>
      </c>
      <c r="F135" s="144"/>
      <c r="G135" s="134">
        <f t="shared" si="58"/>
        <v>46821078.600000001</v>
      </c>
      <c r="H135" s="134">
        <f t="shared" si="58"/>
        <v>40547964.570000008</v>
      </c>
      <c r="I135" s="29">
        <f t="shared" si="58"/>
        <v>40547964.570000008</v>
      </c>
      <c r="M135" s="256"/>
      <c r="N135" s="256"/>
      <c r="O135" s="256"/>
      <c r="P135" s="330"/>
      <c r="AE135" s="54"/>
      <c r="AF135" s="54"/>
    </row>
    <row r="136" spans="1:32">
      <c r="A136" s="144">
        <v>120</v>
      </c>
      <c r="B136" s="299" t="s">
        <v>256</v>
      </c>
      <c r="C136" s="34" t="s">
        <v>153</v>
      </c>
      <c r="D136" s="34" t="s">
        <v>91</v>
      </c>
      <c r="E136" s="34" t="s">
        <v>259</v>
      </c>
      <c r="F136" s="144"/>
      <c r="G136" s="134">
        <f>G137+G144</f>
        <v>46821078.600000001</v>
      </c>
      <c r="H136" s="134">
        <f t="shared" ref="H136:I136" si="59">H137+H144</f>
        <v>40547964.570000008</v>
      </c>
      <c r="I136" s="29">
        <f t="shared" si="59"/>
        <v>40547964.570000008</v>
      </c>
      <c r="M136" s="256"/>
      <c r="N136" s="256"/>
      <c r="O136" s="256"/>
      <c r="P136" s="330"/>
      <c r="AE136" s="54"/>
      <c r="AF136" s="54"/>
    </row>
    <row r="137" spans="1:32" ht="45">
      <c r="A137" s="144">
        <v>121</v>
      </c>
      <c r="B137" s="298" t="s">
        <v>373</v>
      </c>
      <c r="C137" s="34" t="s">
        <v>153</v>
      </c>
      <c r="D137" s="34" t="s">
        <v>91</v>
      </c>
      <c r="E137" s="34" t="s">
        <v>260</v>
      </c>
      <c r="F137" s="144"/>
      <c r="G137" s="134">
        <f t="shared" ref="G137:H137" si="60">G138+G140+G142</f>
        <v>40191936.25</v>
      </c>
      <c r="H137" s="134">
        <f t="shared" si="60"/>
        <v>35985202.620000005</v>
      </c>
      <c r="I137" s="29">
        <f t="shared" ref="I137" si="61">I138+I140+I142</f>
        <v>35985202.620000005</v>
      </c>
      <c r="J137" s="335">
        <v>49215.6</v>
      </c>
      <c r="M137" s="256"/>
      <c r="N137" s="256"/>
      <c r="O137" s="256"/>
      <c r="P137" s="330"/>
      <c r="AE137" s="54"/>
      <c r="AF137" s="54"/>
    </row>
    <row r="138" spans="1:32" ht="45">
      <c r="A138" s="144">
        <v>122</v>
      </c>
      <c r="B138" s="143" t="s">
        <v>15</v>
      </c>
      <c r="C138" s="34" t="s">
        <v>153</v>
      </c>
      <c r="D138" s="34" t="s">
        <v>91</v>
      </c>
      <c r="E138" s="34" t="s">
        <v>260</v>
      </c>
      <c r="F138" s="144">
        <v>100</v>
      </c>
      <c r="G138" s="134">
        <f t="shared" ref="G138:I138" si="62">G139</f>
        <v>32200706.250000004</v>
      </c>
      <c r="H138" s="134">
        <f t="shared" si="62"/>
        <v>28622672.620000001</v>
      </c>
      <c r="I138" s="29">
        <f t="shared" si="62"/>
        <v>28622672.620000001</v>
      </c>
      <c r="J138" s="335">
        <v>1185892.53</v>
      </c>
      <c r="M138" s="256"/>
      <c r="N138" s="256"/>
      <c r="O138" s="256"/>
      <c r="P138" s="330"/>
      <c r="AE138" s="54"/>
      <c r="AF138" s="54"/>
    </row>
    <row r="139" spans="1:32">
      <c r="A139" s="144">
        <v>123</v>
      </c>
      <c r="B139" s="143" t="s">
        <v>16</v>
      </c>
      <c r="C139" s="34" t="s">
        <v>153</v>
      </c>
      <c r="D139" s="34" t="s">
        <v>91</v>
      </c>
      <c r="E139" s="34" t="s">
        <v>260</v>
      </c>
      <c r="F139" s="144">
        <v>120</v>
      </c>
      <c r="G139" s="134">
        <f>28622672.62+318856+1835037.4-318856+457486.1+49215.6+1185892.53+50402</f>
        <v>32200706.250000004</v>
      </c>
      <c r="H139" s="134">
        <f>28622672.62+318856-318856</f>
        <v>28622672.620000001</v>
      </c>
      <c r="I139" s="157">
        <v>28622672.620000001</v>
      </c>
      <c r="J139" s="335">
        <v>507888.1</v>
      </c>
      <c r="M139" s="256"/>
      <c r="N139" s="256"/>
      <c r="O139" s="256"/>
      <c r="P139" s="330"/>
      <c r="AE139" s="54"/>
      <c r="AF139" s="54"/>
    </row>
    <row r="140" spans="1:32">
      <c r="A140" s="144">
        <v>124</v>
      </c>
      <c r="B140" s="143" t="s">
        <v>20</v>
      </c>
      <c r="C140" s="34" t="s">
        <v>153</v>
      </c>
      <c r="D140" s="34" t="s">
        <v>91</v>
      </c>
      <c r="E140" s="34" t="s">
        <v>260</v>
      </c>
      <c r="F140" s="144">
        <v>200</v>
      </c>
      <c r="G140" s="134">
        <f t="shared" ref="G140:I140" si="63">G141</f>
        <v>5649700</v>
      </c>
      <c r="H140" s="134">
        <f t="shared" si="63"/>
        <v>6538000</v>
      </c>
      <c r="I140" s="29">
        <f t="shared" si="63"/>
        <v>6538000</v>
      </c>
      <c r="M140" s="256"/>
      <c r="N140" s="256"/>
      <c r="O140" s="256"/>
      <c r="P140" s="330"/>
      <c r="AE140" s="54"/>
      <c r="AF140" s="54"/>
    </row>
    <row r="141" spans="1:32">
      <c r="A141" s="144">
        <v>125</v>
      </c>
      <c r="B141" s="143" t="s">
        <v>21</v>
      </c>
      <c r="C141" s="34" t="s">
        <v>153</v>
      </c>
      <c r="D141" s="34" t="s">
        <v>91</v>
      </c>
      <c r="E141" s="34" t="s">
        <v>260</v>
      </c>
      <c r="F141" s="144">
        <f>240</f>
        <v>240</v>
      </c>
      <c r="G141" s="134">
        <f>6538000-917000+28650+50</f>
        <v>5649700</v>
      </c>
      <c r="H141" s="134">
        <v>6538000</v>
      </c>
      <c r="I141" s="157">
        <v>6538000</v>
      </c>
      <c r="J141" s="335">
        <v>28700</v>
      </c>
      <c r="M141" s="256"/>
      <c r="N141" s="256"/>
      <c r="O141" s="256"/>
      <c r="P141" s="330"/>
      <c r="AE141" s="54"/>
      <c r="AF141" s="54"/>
    </row>
    <row r="142" spans="1:32">
      <c r="A142" s="144">
        <v>126</v>
      </c>
      <c r="B142" s="143" t="s">
        <v>32</v>
      </c>
      <c r="C142" s="34" t="s">
        <v>153</v>
      </c>
      <c r="D142" s="34" t="s">
        <v>91</v>
      </c>
      <c r="E142" s="34" t="s">
        <v>260</v>
      </c>
      <c r="F142" s="144">
        <v>800</v>
      </c>
      <c r="G142" s="134">
        <f t="shared" ref="G142:I142" si="64">G143</f>
        <v>2341530</v>
      </c>
      <c r="H142" s="134">
        <f t="shared" si="64"/>
        <v>824530</v>
      </c>
      <c r="I142" s="29">
        <f t="shared" si="64"/>
        <v>824530</v>
      </c>
      <c r="J142" s="254"/>
      <c r="M142" s="256"/>
      <c r="N142" s="256"/>
      <c r="O142" s="256"/>
      <c r="P142" s="330"/>
      <c r="AE142" s="54"/>
      <c r="AF142" s="54"/>
    </row>
    <row r="143" spans="1:32">
      <c r="A143" s="144">
        <v>127</v>
      </c>
      <c r="B143" s="143" t="s">
        <v>80</v>
      </c>
      <c r="C143" s="34" t="s">
        <v>153</v>
      </c>
      <c r="D143" s="34" t="s">
        <v>91</v>
      </c>
      <c r="E143" s="34" t="s">
        <v>260</v>
      </c>
      <c r="F143" s="144">
        <v>850</v>
      </c>
      <c r="G143" s="134">
        <f>824530+917000+600000</f>
        <v>2341530</v>
      </c>
      <c r="H143" s="134">
        <v>824530</v>
      </c>
      <c r="I143" s="157">
        <v>824530</v>
      </c>
      <c r="J143" s="335">
        <v>600000</v>
      </c>
      <c r="M143" s="256"/>
      <c r="N143" s="256"/>
      <c r="O143" s="256"/>
      <c r="P143" s="330"/>
      <c r="AE143" s="54"/>
      <c r="AF143" s="54"/>
    </row>
    <row r="144" spans="1:32" ht="45">
      <c r="A144" s="144">
        <v>128</v>
      </c>
      <c r="B144" s="299" t="s">
        <v>375</v>
      </c>
      <c r="C144" s="34" t="s">
        <v>153</v>
      </c>
      <c r="D144" s="34" t="s">
        <v>91</v>
      </c>
      <c r="E144" s="34" t="s">
        <v>374</v>
      </c>
      <c r="F144" s="144"/>
      <c r="G144" s="134">
        <f t="shared" ref="G144:I145" si="65">G145</f>
        <v>6629142.3500000006</v>
      </c>
      <c r="H144" s="134">
        <f t="shared" si="65"/>
        <v>4562761.95</v>
      </c>
      <c r="I144" s="29">
        <f t="shared" si="65"/>
        <v>4562761.95</v>
      </c>
      <c r="M144" s="256"/>
      <c r="N144" s="256"/>
      <c r="O144" s="256"/>
      <c r="P144" s="330"/>
      <c r="AE144" s="54"/>
      <c r="AF144" s="54"/>
    </row>
    <row r="145" spans="1:32" ht="45">
      <c r="A145" s="144">
        <v>129</v>
      </c>
      <c r="B145" s="143" t="s">
        <v>15</v>
      </c>
      <c r="C145" s="34" t="s">
        <v>153</v>
      </c>
      <c r="D145" s="34" t="s">
        <v>91</v>
      </c>
      <c r="E145" s="34" t="s">
        <v>374</v>
      </c>
      <c r="F145" s="144">
        <v>100</v>
      </c>
      <c r="G145" s="134">
        <f t="shared" si="65"/>
        <v>6629142.3500000006</v>
      </c>
      <c r="H145" s="134">
        <f t="shared" si="65"/>
        <v>4562761.95</v>
      </c>
      <c r="I145" s="29">
        <f t="shared" si="65"/>
        <v>4562761.95</v>
      </c>
      <c r="J145" s="335">
        <v>1623440</v>
      </c>
      <c r="K145" s="339"/>
      <c r="M145" s="256"/>
      <c r="N145" s="256"/>
      <c r="O145" s="256"/>
      <c r="P145" s="330"/>
      <c r="AE145" s="54"/>
      <c r="AF145" s="54"/>
    </row>
    <row r="146" spans="1:32">
      <c r="A146" s="144">
        <v>130</v>
      </c>
      <c r="B146" s="143" t="s">
        <v>16</v>
      </c>
      <c r="C146" s="34" t="s">
        <v>153</v>
      </c>
      <c r="D146" s="34" t="s">
        <v>91</v>
      </c>
      <c r="E146" s="34" t="s">
        <v>374</v>
      </c>
      <c r="F146" s="144">
        <v>120</v>
      </c>
      <c r="G146" s="134">
        <f>4562761.95+442940.4+1623440</f>
        <v>6629142.3500000006</v>
      </c>
      <c r="H146" s="134">
        <v>4562761.95</v>
      </c>
      <c r="I146" s="157">
        <v>4562761.95</v>
      </c>
      <c r="M146" s="256"/>
      <c r="N146" s="256"/>
      <c r="O146" s="256"/>
      <c r="P146" s="330"/>
      <c r="AE146" s="54"/>
      <c r="AF146" s="54"/>
    </row>
    <row r="147" spans="1:32">
      <c r="A147" s="144">
        <v>131</v>
      </c>
      <c r="B147" s="297" t="s">
        <v>157</v>
      </c>
      <c r="C147" s="34" t="s">
        <v>153</v>
      </c>
      <c r="D147" s="34" t="s">
        <v>160</v>
      </c>
      <c r="E147" s="34"/>
      <c r="F147" s="144"/>
      <c r="G147" s="134">
        <f t="shared" ref="G147:I147" si="66">G148</f>
        <v>6000</v>
      </c>
      <c r="H147" s="134">
        <f t="shared" si="66"/>
        <v>6200</v>
      </c>
      <c r="I147" s="29">
        <f t="shared" si="66"/>
        <v>53900</v>
      </c>
      <c r="M147" s="256"/>
      <c r="N147" s="256"/>
      <c r="O147" s="256"/>
      <c r="P147" s="330"/>
      <c r="AE147" s="54"/>
      <c r="AF147" s="54"/>
    </row>
    <row r="148" spans="1:32">
      <c r="A148" s="144">
        <v>132</v>
      </c>
      <c r="B148" s="299" t="s">
        <v>255</v>
      </c>
      <c r="C148" s="34" t="s">
        <v>153</v>
      </c>
      <c r="D148" s="34" t="s">
        <v>160</v>
      </c>
      <c r="E148" s="34">
        <v>8500000000</v>
      </c>
      <c r="F148" s="144"/>
      <c r="G148" s="134">
        <f t="shared" ref="G148:H148" si="67">G150</f>
        <v>6000</v>
      </c>
      <c r="H148" s="134">
        <f t="shared" si="67"/>
        <v>6200</v>
      </c>
      <c r="I148" s="29">
        <f t="shared" ref="I148" si="68">I150</f>
        <v>53900</v>
      </c>
      <c r="M148" s="256"/>
      <c r="N148" s="256"/>
      <c r="O148" s="256"/>
      <c r="P148" s="330"/>
      <c r="AE148" s="54"/>
      <c r="AF148" s="54"/>
    </row>
    <row r="149" spans="1:32">
      <c r="A149" s="144">
        <v>133</v>
      </c>
      <c r="B149" s="299" t="s">
        <v>256</v>
      </c>
      <c r="C149" s="34" t="s">
        <v>153</v>
      </c>
      <c r="D149" s="34" t="s">
        <v>160</v>
      </c>
      <c r="E149" s="34">
        <v>8510000000</v>
      </c>
      <c r="F149" s="144"/>
      <c r="G149" s="134">
        <f t="shared" ref="G149:I151" si="69">G150</f>
        <v>6000</v>
      </c>
      <c r="H149" s="134">
        <f t="shared" si="69"/>
        <v>6200</v>
      </c>
      <c r="I149" s="29">
        <f t="shared" si="69"/>
        <v>53900</v>
      </c>
      <c r="M149" s="256"/>
      <c r="N149" s="256"/>
      <c r="O149" s="256"/>
      <c r="P149" s="330"/>
      <c r="AE149" s="54"/>
      <c r="AF149" s="54"/>
    </row>
    <row r="150" spans="1:32" ht="45">
      <c r="A150" s="144">
        <v>134</v>
      </c>
      <c r="B150" s="299" t="s">
        <v>398</v>
      </c>
      <c r="C150" s="34" t="s">
        <v>153</v>
      </c>
      <c r="D150" s="34" t="s">
        <v>160</v>
      </c>
      <c r="E150" s="34" t="s">
        <v>532</v>
      </c>
      <c r="F150" s="144"/>
      <c r="G150" s="134">
        <f t="shared" si="69"/>
        <v>6000</v>
      </c>
      <c r="H150" s="134">
        <f t="shared" si="69"/>
        <v>6200</v>
      </c>
      <c r="I150" s="29">
        <f t="shared" si="69"/>
        <v>53900</v>
      </c>
      <c r="M150" s="256"/>
      <c r="N150" s="256"/>
      <c r="O150" s="256"/>
      <c r="P150" s="330"/>
      <c r="AE150" s="54"/>
      <c r="AF150" s="54"/>
    </row>
    <row r="151" spans="1:32">
      <c r="A151" s="144">
        <v>135</v>
      </c>
      <c r="B151" s="143" t="s">
        <v>20</v>
      </c>
      <c r="C151" s="34" t="s">
        <v>153</v>
      </c>
      <c r="D151" s="34" t="s">
        <v>160</v>
      </c>
      <c r="E151" s="34">
        <v>8510051200</v>
      </c>
      <c r="F151" s="144">
        <v>200</v>
      </c>
      <c r="G151" s="134">
        <f t="shared" si="69"/>
        <v>6000</v>
      </c>
      <c r="H151" s="134">
        <f t="shared" si="69"/>
        <v>6200</v>
      </c>
      <c r="I151" s="29">
        <f t="shared" si="69"/>
        <v>53900</v>
      </c>
      <c r="M151" s="256"/>
      <c r="N151" s="256"/>
      <c r="O151" s="256"/>
      <c r="P151" s="330"/>
      <c r="AE151" s="54"/>
      <c r="AF151" s="54"/>
    </row>
    <row r="152" spans="1:32">
      <c r="A152" s="144">
        <v>136</v>
      </c>
      <c r="B152" s="143" t="s">
        <v>21</v>
      </c>
      <c r="C152" s="34" t="s">
        <v>153</v>
      </c>
      <c r="D152" s="34" t="s">
        <v>160</v>
      </c>
      <c r="E152" s="34">
        <v>8510051200</v>
      </c>
      <c r="F152" s="144">
        <v>240</v>
      </c>
      <c r="G152" s="134">
        <f>600+5400</f>
        <v>6000</v>
      </c>
      <c r="H152" s="134">
        <f>500+5700</f>
        <v>6200</v>
      </c>
      <c r="I152" s="157">
        <v>53900</v>
      </c>
      <c r="M152" s="256"/>
      <c r="N152" s="256"/>
      <c r="O152" s="256"/>
      <c r="P152" s="330"/>
      <c r="AE152" s="54"/>
      <c r="AF152" s="54"/>
    </row>
    <row r="153" spans="1:32">
      <c r="A153" s="144">
        <v>137</v>
      </c>
      <c r="B153" s="297" t="s">
        <v>31</v>
      </c>
      <c r="C153" s="34" t="s">
        <v>153</v>
      </c>
      <c r="D153" s="34" t="s">
        <v>93</v>
      </c>
      <c r="E153" s="34"/>
      <c r="F153" s="144"/>
      <c r="G153" s="134">
        <f t="shared" ref="G153:I153" si="70">G154</f>
        <v>4380000</v>
      </c>
      <c r="H153" s="134">
        <f t="shared" si="70"/>
        <v>150000</v>
      </c>
      <c r="I153" s="29">
        <f t="shared" si="70"/>
        <v>150000</v>
      </c>
      <c r="M153" s="256"/>
      <c r="N153" s="256"/>
      <c r="O153" s="256"/>
      <c r="P153" s="330"/>
      <c r="AE153" s="54"/>
      <c r="AF153" s="54"/>
    </row>
    <row r="154" spans="1:32">
      <c r="A154" s="144">
        <v>138</v>
      </c>
      <c r="B154" s="299" t="s">
        <v>255</v>
      </c>
      <c r="C154" s="34" t="s">
        <v>153</v>
      </c>
      <c r="D154" s="34" t="s">
        <v>93</v>
      </c>
      <c r="E154" s="34">
        <v>8500000000</v>
      </c>
      <c r="F154" s="144"/>
      <c r="G154" s="134">
        <f t="shared" ref="G154:H154" si="71">G156</f>
        <v>4380000</v>
      </c>
      <c r="H154" s="134">
        <f t="shared" si="71"/>
        <v>150000</v>
      </c>
      <c r="I154" s="29">
        <f t="shared" ref="I154" si="72">I156</f>
        <v>150000</v>
      </c>
      <c r="M154" s="256"/>
      <c r="N154" s="256"/>
      <c r="O154" s="256"/>
      <c r="P154" s="330"/>
      <c r="AE154" s="54"/>
      <c r="AF154" s="54"/>
    </row>
    <row r="155" spans="1:32">
      <c r="A155" s="144">
        <v>139</v>
      </c>
      <c r="B155" s="299" t="s">
        <v>256</v>
      </c>
      <c r="C155" s="34" t="s">
        <v>153</v>
      </c>
      <c r="D155" s="34" t="s">
        <v>93</v>
      </c>
      <c r="E155" s="34">
        <v>8510000000</v>
      </c>
      <c r="F155" s="144"/>
      <c r="G155" s="134">
        <f t="shared" ref="G155:I157" si="73">G156</f>
        <v>4380000</v>
      </c>
      <c r="H155" s="134">
        <f t="shared" si="73"/>
        <v>150000</v>
      </c>
      <c r="I155" s="29">
        <f t="shared" si="73"/>
        <v>150000</v>
      </c>
      <c r="M155" s="256"/>
      <c r="N155" s="256"/>
      <c r="O155" s="256"/>
      <c r="P155" s="330"/>
      <c r="AE155" s="54"/>
      <c r="AF155" s="54"/>
    </row>
    <row r="156" spans="1:32">
      <c r="A156" s="144">
        <v>140</v>
      </c>
      <c r="B156" s="306" t="s">
        <v>34</v>
      </c>
      <c r="C156" s="34" t="s">
        <v>153</v>
      </c>
      <c r="D156" s="34" t="s">
        <v>93</v>
      </c>
      <c r="E156" s="34">
        <v>8510010110</v>
      </c>
      <c r="F156" s="144"/>
      <c r="G156" s="134">
        <f t="shared" si="73"/>
        <v>4380000</v>
      </c>
      <c r="H156" s="134">
        <f t="shared" si="73"/>
        <v>150000</v>
      </c>
      <c r="I156" s="29">
        <f t="shared" si="73"/>
        <v>150000</v>
      </c>
      <c r="M156" s="256"/>
      <c r="N156" s="256"/>
      <c r="O156" s="256"/>
      <c r="P156" s="330"/>
      <c r="AE156" s="54"/>
      <c r="AF156" s="54"/>
    </row>
    <row r="157" spans="1:32">
      <c r="A157" s="144">
        <v>141</v>
      </c>
      <c r="B157" s="143" t="s">
        <v>32</v>
      </c>
      <c r="C157" s="34" t="s">
        <v>153</v>
      </c>
      <c r="D157" s="34" t="s">
        <v>93</v>
      </c>
      <c r="E157" s="34">
        <v>8510010110</v>
      </c>
      <c r="F157" s="144">
        <v>800</v>
      </c>
      <c r="G157" s="134">
        <f t="shared" si="73"/>
        <v>4380000</v>
      </c>
      <c r="H157" s="134">
        <f t="shared" si="73"/>
        <v>150000</v>
      </c>
      <c r="I157" s="29">
        <f t="shared" si="73"/>
        <v>150000</v>
      </c>
      <c r="M157" s="256"/>
      <c r="N157" s="256"/>
      <c r="O157" s="256"/>
      <c r="P157" s="330"/>
      <c r="AE157" s="54"/>
      <c r="AF157" s="54"/>
    </row>
    <row r="158" spans="1:32">
      <c r="A158" s="144">
        <v>142</v>
      </c>
      <c r="B158" s="143" t="s">
        <v>33</v>
      </c>
      <c r="C158" s="34" t="s">
        <v>153</v>
      </c>
      <c r="D158" s="34" t="s">
        <v>93</v>
      </c>
      <c r="E158" s="34">
        <v>8510010110</v>
      </c>
      <c r="F158" s="144">
        <v>870</v>
      </c>
      <c r="G158" s="134">
        <f>150000+4230000</f>
        <v>4380000</v>
      </c>
      <c r="H158" s="134">
        <v>150000</v>
      </c>
      <c r="I158" s="157">
        <v>150000</v>
      </c>
      <c r="J158" s="254"/>
      <c r="M158" s="256"/>
      <c r="N158" s="256"/>
      <c r="O158" s="256"/>
      <c r="P158" s="330"/>
      <c r="AE158" s="54"/>
      <c r="AF158" s="54"/>
    </row>
    <row r="159" spans="1:32">
      <c r="A159" s="144">
        <v>143</v>
      </c>
      <c r="B159" s="297" t="s">
        <v>35</v>
      </c>
      <c r="C159" s="34" t="s">
        <v>153</v>
      </c>
      <c r="D159" s="34" t="s">
        <v>94</v>
      </c>
      <c r="E159" s="34"/>
      <c r="F159" s="144"/>
      <c r="G159" s="134">
        <f>G160+G184</f>
        <v>9428669.4900000002</v>
      </c>
      <c r="H159" s="134">
        <f>H160+H184</f>
        <v>8643250</v>
      </c>
      <c r="I159" s="29">
        <f>I160+I184</f>
        <v>8643250</v>
      </c>
      <c r="M159" s="256"/>
      <c r="N159" s="256"/>
      <c r="O159" s="256"/>
      <c r="P159" s="330"/>
      <c r="AE159" s="54"/>
      <c r="AF159" s="54"/>
    </row>
    <row r="160" spans="1:32">
      <c r="A160" s="144">
        <v>144</v>
      </c>
      <c r="B160" s="299" t="s">
        <v>255</v>
      </c>
      <c r="C160" s="34" t="s">
        <v>153</v>
      </c>
      <c r="D160" s="34" t="s">
        <v>94</v>
      </c>
      <c r="E160" s="34">
        <v>8500000000</v>
      </c>
      <c r="F160" s="144"/>
      <c r="G160" s="134">
        <f t="shared" ref="G160:I160" si="74">G161</f>
        <v>4052919.49</v>
      </c>
      <c r="H160" s="134">
        <f t="shared" si="74"/>
        <v>2086900</v>
      </c>
      <c r="I160" s="29">
        <f t="shared" si="74"/>
        <v>2086900</v>
      </c>
      <c r="M160" s="256"/>
      <c r="N160" s="256"/>
      <c r="O160" s="256"/>
      <c r="P160" s="330"/>
      <c r="AE160" s="54"/>
      <c r="AF160" s="54"/>
    </row>
    <row r="161" spans="1:32">
      <c r="A161" s="144">
        <v>145</v>
      </c>
      <c r="B161" s="299" t="s">
        <v>256</v>
      </c>
      <c r="C161" s="34" t="s">
        <v>153</v>
      </c>
      <c r="D161" s="34" t="s">
        <v>94</v>
      </c>
      <c r="E161" s="34">
        <v>8510000000</v>
      </c>
      <c r="F161" s="144"/>
      <c r="G161" s="134">
        <f>G162+G167+G172+G175+G178+G181</f>
        <v>4052919.49</v>
      </c>
      <c r="H161" s="134">
        <f>H162+H167+H172+H175+H178+H181</f>
        <v>2086900</v>
      </c>
      <c r="I161" s="29">
        <f>I162+I167+I172+I175+I178+I181</f>
        <v>2086900</v>
      </c>
      <c r="M161" s="256"/>
      <c r="N161" s="256"/>
      <c r="O161" s="256"/>
      <c r="P161" s="330"/>
      <c r="AE161" s="54"/>
      <c r="AF161" s="54"/>
    </row>
    <row r="162" spans="1:32" ht="45">
      <c r="A162" s="144">
        <v>146</v>
      </c>
      <c r="B162" s="305" t="s">
        <v>36</v>
      </c>
      <c r="C162" s="34" t="s">
        <v>153</v>
      </c>
      <c r="D162" s="34" t="s">
        <v>94</v>
      </c>
      <c r="E162" s="34" t="s">
        <v>531</v>
      </c>
      <c r="F162" s="144"/>
      <c r="G162" s="134">
        <f t="shared" ref="G162:H162" si="75">G163+G165</f>
        <v>64900</v>
      </c>
      <c r="H162" s="134">
        <f t="shared" si="75"/>
        <v>59800</v>
      </c>
      <c r="I162" s="29">
        <f t="shared" ref="I162" si="76">I163+I165</f>
        <v>59800</v>
      </c>
      <c r="M162" s="256"/>
      <c r="N162" s="256"/>
      <c r="O162" s="256"/>
      <c r="P162" s="330"/>
      <c r="AE162" s="54"/>
      <c r="AF162" s="54"/>
    </row>
    <row r="163" spans="1:32" ht="45">
      <c r="A163" s="144">
        <v>147</v>
      </c>
      <c r="B163" s="143" t="s">
        <v>15</v>
      </c>
      <c r="C163" s="34" t="s">
        <v>153</v>
      </c>
      <c r="D163" s="34" t="s">
        <v>94</v>
      </c>
      <c r="E163" s="34">
        <v>8510074290</v>
      </c>
      <c r="F163" s="144">
        <v>100</v>
      </c>
      <c r="G163" s="134">
        <f t="shared" ref="G163:I163" si="77">G164</f>
        <v>62600</v>
      </c>
      <c r="H163" s="134">
        <f t="shared" si="77"/>
        <v>57500</v>
      </c>
      <c r="I163" s="29">
        <f t="shared" si="77"/>
        <v>57500</v>
      </c>
      <c r="M163" s="256"/>
      <c r="N163" s="256"/>
      <c r="O163" s="256"/>
      <c r="P163" s="330"/>
      <c r="AE163" s="54"/>
      <c r="AF163" s="54"/>
    </row>
    <row r="164" spans="1:32">
      <c r="A164" s="144">
        <v>148</v>
      </c>
      <c r="B164" s="143" t="s">
        <v>16</v>
      </c>
      <c r="C164" s="34" t="s">
        <v>153</v>
      </c>
      <c r="D164" s="34" t="s">
        <v>94</v>
      </c>
      <c r="E164" s="34">
        <v>8510074290</v>
      </c>
      <c r="F164" s="144">
        <v>120</v>
      </c>
      <c r="G164" s="134">
        <f>57500+5100</f>
        <v>62600</v>
      </c>
      <c r="H164" s="134">
        <v>57500</v>
      </c>
      <c r="I164" s="157">
        <v>57500</v>
      </c>
      <c r="M164" s="256"/>
      <c r="N164" s="256"/>
      <c r="O164" s="256"/>
      <c r="P164" s="330"/>
      <c r="AE164" s="54"/>
      <c r="AF164" s="54"/>
    </row>
    <row r="165" spans="1:32">
      <c r="A165" s="144">
        <v>149</v>
      </c>
      <c r="B165" s="143" t="s">
        <v>20</v>
      </c>
      <c r="C165" s="34" t="s">
        <v>153</v>
      </c>
      <c r="D165" s="34" t="s">
        <v>94</v>
      </c>
      <c r="E165" s="34">
        <v>8510074290</v>
      </c>
      <c r="F165" s="144">
        <v>200</v>
      </c>
      <c r="G165" s="134">
        <f t="shared" ref="G165:I165" si="78">G166</f>
        <v>2300</v>
      </c>
      <c r="H165" s="134">
        <f t="shared" si="78"/>
        <v>2300</v>
      </c>
      <c r="I165" s="29">
        <f t="shared" si="78"/>
        <v>2300</v>
      </c>
      <c r="M165" s="256"/>
      <c r="N165" s="256"/>
      <c r="O165" s="256"/>
      <c r="P165" s="330"/>
      <c r="AE165" s="54"/>
      <c r="AF165" s="54"/>
    </row>
    <row r="166" spans="1:32">
      <c r="A166" s="144">
        <v>150</v>
      </c>
      <c r="B166" s="143" t="s">
        <v>21</v>
      </c>
      <c r="C166" s="34" t="s">
        <v>153</v>
      </c>
      <c r="D166" s="34" t="s">
        <v>94</v>
      </c>
      <c r="E166" s="34">
        <v>8510074290</v>
      </c>
      <c r="F166" s="144">
        <v>240</v>
      </c>
      <c r="G166" s="134">
        <v>2300</v>
      </c>
      <c r="H166" s="134">
        <v>2300</v>
      </c>
      <c r="I166" s="157">
        <v>2300</v>
      </c>
      <c r="M166" s="256"/>
      <c r="N166" s="256"/>
      <c r="O166" s="256"/>
      <c r="P166" s="330"/>
      <c r="AE166" s="54"/>
      <c r="AF166" s="54"/>
    </row>
    <row r="167" spans="1:32" ht="30">
      <c r="A167" s="144">
        <v>151</v>
      </c>
      <c r="B167" s="298" t="s">
        <v>30</v>
      </c>
      <c r="C167" s="34" t="s">
        <v>153</v>
      </c>
      <c r="D167" s="34" t="s">
        <v>94</v>
      </c>
      <c r="E167" s="34">
        <v>8510076040</v>
      </c>
      <c r="F167" s="144"/>
      <c r="G167" s="134">
        <f t="shared" ref="G167:H167" si="79">G168+G170</f>
        <v>1111500</v>
      </c>
      <c r="H167" s="134">
        <f t="shared" si="79"/>
        <v>1027100</v>
      </c>
      <c r="I167" s="29">
        <f t="shared" ref="I167" si="80">I168+I170</f>
        <v>1027100</v>
      </c>
      <c r="M167" s="256"/>
      <c r="N167" s="256"/>
      <c r="O167" s="256"/>
      <c r="P167" s="330"/>
      <c r="AE167" s="54"/>
      <c r="AF167" s="54"/>
    </row>
    <row r="168" spans="1:32" ht="45">
      <c r="A168" s="144">
        <v>152</v>
      </c>
      <c r="B168" s="143" t="s">
        <v>15</v>
      </c>
      <c r="C168" s="34" t="s">
        <v>153</v>
      </c>
      <c r="D168" s="34" t="s">
        <v>94</v>
      </c>
      <c r="E168" s="34">
        <v>8510076040</v>
      </c>
      <c r="F168" s="144">
        <v>100</v>
      </c>
      <c r="G168" s="134">
        <f t="shared" ref="G168:I168" si="81">G169</f>
        <v>1042738.06</v>
      </c>
      <c r="H168" s="134">
        <f t="shared" si="81"/>
        <v>958338.06</v>
      </c>
      <c r="I168" s="29">
        <f t="shared" si="81"/>
        <v>958338.06</v>
      </c>
      <c r="M168" s="256"/>
      <c r="N168" s="256"/>
      <c r="O168" s="256"/>
      <c r="P168" s="330"/>
      <c r="AE168" s="54"/>
      <c r="AF168" s="54"/>
    </row>
    <row r="169" spans="1:32">
      <c r="A169" s="144">
        <v>153</v>
      </c>
      <c r="B169" s="143" t="s">
        <v>16</v>
      </c>
      <c r="C169" s="34" t="s">
        <v>153</v>
      </c>
      <c r="D169" s="34" t="s">
        <v>94</v>
      </c>
      <c r="E169" s="34">
        <v>8510076040</v>
      </c>
      <c r="F169" s="144">
        <v>120</v>
      </c>
      <c r="G169" s="134">
        <f>958338.06+84400</f>
        <v>1042738.06</v>
      </c>
      <c r="H169" s="134">
        <v>958338.06</v>
      </c>
      <c r="I169" s="157">
        <v>958338.06</v>
      </c>
      <c r="M169" s="256"/>
      <c r="N169" s="256"/>
      <c r="O169" s="256"/>
      <c r="P169" s="330"/>
      <c r="AE169" s="54"/>
      <c r="AF169" s="54"/>
    </row>
    <row r="170" spans="1:32">
      <c r="A170" s="144">
        <v>154</v>
      </c>
      <c r="B170" s="143" t="s">
        <v>20</v>
      </c>
      <c r="C170" s="34" t="s">
        <v>153</v>
      </c>
      <c r="D170" s="34" t="s">
        <v>94</v>
      </c>
      <c r="E170" s="34">
        <v>8510076040</v>
      </c>
      <c r="F170" s="144">
        <v>200</v>
      </c>
      <c r="G170" s="134">
        <f t="shared" ref="G170:I170" si="82">G171</f>
        <v>68761.94</v>
      </c>
      <c r="H170" s="134">
        <f t="shared" si="82"/>
        <v>68761.94</v>
      </c>
      <c r="I170" s="29">
        <f t="shared" si="82"/>
        <v>68761.94</v>
      </c>
      <c r="M170" s="256"/>
      <c r="N170" s="256"/>
      <c r="O170" s="256"/>
      <c r="P170" s="330"/>
      <c r="AE170" s="54"/>
      <c r="AF170" s="54"/>
    </row>
    <row r="171" spans="1:32">
      <c r="A171" s="144">
        <v>155</v>
      </c>
      <c r="B171" s="143" t="s">
        <v>21</v>
      </c>
      <c r="C171" s="34" t="s">
        <v>153</v>
      </c>
      <c r="D171" s="34" t="s">
        <v>94</v>
      </c>
      <c r="E171" s="34">
        <v>8510076040</v>
      </c>
      <c r="F171" s="144">
        <v>240</v>
      </c>
      <c r="G171" s="134">
        <v>68761.94</v>
      </c>
      <c r="H171" s="134">
        <v>68761.94</v>
      </c>
      <c r="I171" s="157">
        <v>68761.94</v>
      </c>
      <c r="M171" s="256"/>
      <c r="N171" s="256"/>
      <c r="O171" s="256"/>
      <c r="P171" s="330"/>
      <c r="AE171" s="54"/>
      <c r="AF171" s="54"/>
    </row>
    <row r="172" spans="1:32" ht="45">
      <c r="A172" s="144">
        <v>156</v>
      </c>
      <c r="B172" s="298" t="s">
        <v>37</v>
      </c>
      <c r="C172" s="34" t="s">
        <v>153</v>
      </c>
      <c r="D172" s="34" t="s">
        <v>94</v>
      </c>
      <c r="E172" s="34">
        <v>8510092020</v>
      </c>
      <c r="F172" s="144"/>
      <c r="G172" s="134">
        <f>G173</f>
        <v>300000</v>
      </c>
      <c r="H172" s="134">
        <f t="shared" ref="H172:I172" si="83">H173</f>
        <v>500000</v>
      </c>
      <c r="I172" s="29">
        <f t="shared" si="83"/>
        <v>500000</v>
      </c>
      <c r="M172" s="256"/>
      <c r="N172" s="256"/>
      <c r="O172" s="256"/>
      <c r="P172" s="330"/>
      <c r="AE172" s="54"/>
      <c r="AF172" s="54"/>
    </row>
    <row r="173" spans="1:32">
      <c r="A173" s="144">
        <v>157</v>
      </c>
      <c r="B173" s="143" t="s">
        <v>32</v>
      </c>
      <c r="C173" s="34" t="s">
        <v>153</v>
      </c>
      <c r="D173" s="34" t="s">
        <v>94</v>
      </c>
      <c r="E173" s="34">
        <v>8510092020</v>
      </c>
      <c r="F173" s="144">
        <v>800</v>
      </c>
      <c r="G173" s="134">
        <f t="shared" ref="G173:I173" si="84">G174</f>
        <v>300000</v>
      </c>
      <c r="H173" s="134">
        <f t="shared" si="84"/>
        <v>500000</v>
      </c>
      <c r="I173" s="29">
        <f t="shared" si="84"/>
        <v>500000</v>
      </c>
      <c r="M173" s="256"/>
      <c r="N173" s="256"/>
      <c r="O173" s="256"/>
      <c r="P173" s="330"/>
      <c r="AE173" s="54"/>
      <c r="AF173" s="54"/>
    </row>
    <row r="174" spans="1:32">
      <c r="A174" s="144">
        <v>158</v>
      </c>
      <c r="B174" s="300" t="s">
        <v>38</v>
      </c>
      <c r="C174" s="34" t="s">
        <v>153</v>
      </c>
      <c r="D174" s="34" t="s">
        <v>94</v>
      </c>
      <c r="E174" s="34">
        <v>8510092020</v>
      </c>
      <c r="F174" s="144">
        <v>830</v>
      </c>
      <c r="G174" s="134">
        <f>500000-200000</f>
        <v>300000</v>
      </c>
      <c r="H174" s="134">
        <v>500000</v>
      </c>
      <c r="I174" s="157">
        <v>500000</v>
      </c>
      <c r="J174" s="335">
        <v>-200000</v>
      </c>
      <c r="M174" s="256"/>
      <c r="N174" s="256"/>
      <c r="O174" s="256"/>
      <c r="P174" s="330"/>
      <c r="AE174" s="54"/>
      <c r="AF174" s="54"/>
    </row>
    <row r="175" spans="1:32" ht="30">
      <c r="A175" s="144">
        <v>159</v>
      </c>
      <c r="B175" s="298" t="s">
        <v>244</v>
      </c>
      <c r="C175" s="34" t="s">
        <v>153</v>
      </c>
      <c r="D175" s="34" t="s">
        <v>94</v>
      </c>
      <c r="E175" s="34" t="s">
        <v>263</v>
      </c>
      <c r="F175" s="144"/>
      <c r="G175" s="134">
        <f t="shared" ref="G175:I176" si="85">G176</f>
        <v>167662.97</v>
      </c>
      <c r="H175" s="134">
        <f t="shared" si="85"/>
        <v>0</v>
      </c>
      <c r="I175" s="29">
        <f t="shared" si="85"/>
        <v>0</v>
      </c>
      <c r="M175" s="256"/>
      <c r="N175" s="256"/>
      <c r="O175" s="256"/>
      <c r="P175" s="330"/>
      <c r="AE175" s="54"/>
      <c r="AF175" s="54"/>
    </row>
    <row r="176" spans="1:32">
      <c r="A176" s="144">
        <v>160</v>
      </c>
      <c r="B176" s="143" t="s">
        <v>20</v>
      </c>
      <c r="C176" s="34" t="s">
        <v>153</v>
      </c>
      <c r="D176" s="34" t="s">
        <v>94</v>
      </c>
      <c r="E176" s="34" t="s">
        <v>263</v>
      </c>
      <c r="F176" s="144">
        <v>200</v>
      </c>
      <c r="G176" s="134">
        <f t="shared" si="85"/>
        <v>167662.97</v>
      </c>
      <c r="H176" s="134">
        <f t="shared" si="85"/>
        <v>0</v>
      </c>
      <c r="I176" s="29">
        <f t="shared" si="85"/>
        <v>0</v>
      </c>
      <c r="M176" s="256"/>
      <c r="N176" s="256"/>
      <c r="O176" s="256"/>
      <c r="P176" s="330"/>
      <c r="AE176" s="54"/>
      <c r="AF176" s="54"/>
    </row>
    <row r="177" spans="1:32">
      <c r="A177" s="144">
        <v>161</v>
      </c>
      <c r="B177" s="143" t="s">
        <v>21</v>
      </c>
      <c r="C177" s="34" t="s">
        <v>153</v>
      </c>
      <c r="D177" s="34" t="s">
        <v>94</v>
      </c>
      <c r="E177" s="34" t="s">
        <v>263</v>
      </c>
      <c r="F177" s="144">
        <v>240</v>
      </c>
      <c r="G177" s="134">
        <f>30000+167662.97-30000</f>
        <v>167662.97</v>
      </c>
      <c r="H177" s="134">
        <v>0</v>
      </c>
      <c r="I177" s="157">
        <v>0</v>
      </c>
      <c r="J177" s="335">
        <v>-30000</v>
      </c>
      <c r="K177" s="339"/>
      <c r="M177" s="256"/>
      <c r="N177" s="256"/>
      <c r="O177" s="256"/>
      <c r="P177" s="330"/>
      <c r="AE177" s="54"/>
      <c r="AF177" s="54"/>
    </row>
    <row r="178" spans="1:32" s="54" customFormat="1">
      <c r="A178" s="144">
        <v>162</v>
      </c>
      <c r="B178" s="299" t="s">
        <v>404</v>
      </c>
      <c r="C178" s="34" t="s">
        <v>153</v>
      </c>
      <c r="D178" s="34" t="s">
        <v>94</v>
      </c>
      <c r="E178" s="34">
        <v>8510084570</v>
      </c>
      <c r="F178" s="144"/>
      <c r="G178" s="134">
        <f t="shared" ref="G178:I179" si="86">G179</f>
        <v>70720.51999999999</v>
      </c>
      <c r="H178" s="134">
        <f t="shared" si="86"/>
        <v>0</v>
      </c>
      <c r="I178" s="29">
        <f t="shared" si="86"/>
        <v>0</v>
      </c>
      <c r="M178" s="256"/>
      <c r="N178" s="256"/>
      <c r="O178" s="256"/>
      <c r="P178" s="330"/>
    </row>
    <row r="179" spans="1:32" s="54" customFormat="1">
      <c r="A179" s="144">
        <v>163</v>
      </c>
      <c r="B179" s="143" t="s">
        <v>20</v>
      </c>
      <c r="C179" s="34" t="s">
        <v>153</v>
      </c>
      <c r="D179" s="34" t="s">
        <v>94</v>
      </c>
      <c r="E179" s="34">
        <v>8510084570</v>
      </c>
      <c r="F179" s="144">
        <v>200</v>
      </c>
      <c r="G179" s="134">
        <f t="shared" si="86"/>
        <v>70720.51999999999</v>
      </c>
      <c r="H179" s="134">
        <f t="shared" si="86"/>
        <v>0</v>
      </c>
      <c r="I179" s="29">
        <f t="shared" si="86"/>
        <v>0</v>
      </c>
      <c r="M179" s="256"/>
      <c r="N179" s="256"/>
      <c r="O179" s="256"/>
      <c r="P179" s="330"/>
    </row>
    <row r="180" spans="1:32" s="54" customFormat="1">
      <c r="A180" s="144">
        <v>164</v>
      </c>
      <c r="B180" s="143" t="s">
        <v>21</v>
      </c>
      <c r="C180" s="34" t="s">
        <v>153</v>
      </c>
      <c r="D180" s="34" t="s">
        <v>94</v>
      </c>
      <c r="E180" s="34">
        <v>8510084570</v>
      </c>
      <c r="F180" s="144">
        <v>240</v>
      </c>
      <c r="G180" s="134">
        <f>35720.52+35000</f>
        <v>70720.51999999999</v>
      </c>
      <c r="H180" s="134">
        <v>0</v>
      </c>
      <c r="I180" s="157">
        <v>0</v>
      </c>
      <c r="J180" s="334">
        <v>35000</v>
      </c>
      <c r="M180" s="256"/>
      <c r="N180" s="256"/>
      <c r="O180" s="256"/>
      <c r="P180" s="330"/>
    </row>
    <row r="181" spans="1:32" s="54" customFormat="1" ht="30">
      <c r="A181" s="144">
        <v>165</v>
      </c>
      <c r="B181" s="299" t="s">
        <v>423</v>
      </c>
      <c r="C181" s="34" t="s">
        <v>153</v>
      </c>
      <c r="D181" s="34" t="s">
        <v>94</v>
      </c>
      <c r="E181" s="34">
        <v>8510084580</v>
      </c>
      <c r="F181" s="144"/>
      <c r="G181" s="134">
        <f t="shared" ref="G181:I182" si="87">G182</f>
        <v>2338136</v>
      </c>
      <c r="H181" s="134">
        <f t="shared" si="87"/>
        <v>500000</v>
      </c>
      <c r="I181" s="29">
        <f t="shared" si="87"/>
        <v>500000</v>
      </c>
      <c r="M181" s="256"/>
      <c r="N181" s="256"/>
      <c r="O181" s="256"/>
      <c r="P181" s="330"/>
    </row>
    <row r="182" spans="1:32" s="54" customFormat="1">
      <c r="A182" s="144">
        <v>166</v>
      </c>
      <c r="B182" s="143" t="s">
        <v>20</v>
      </c>
      <c r="C182" s="34" t="s">
        <v>153</v>
      </c>
      <c r="D182" s="34" t="s">
        <v>94</v>
      </c>
      <c r="E182" s="34">
        <v>8510084580</v>
      </c>
      <c r="F182" s="144">
        <v>200</v>
      </c>
      <c r="G182" s="134">
        <f t="shared" si="87"/>
        <v>2338136</v>
      </c>
      <c r="H182" s="134">
        <f t="shared" si="87"/>
        <v>500000</v>
      </c>
      <c r="I182" s="29">
        <f t="shared" si="87"/>
        <v>500000</v>
      </c>
      <c r="M182" s="256"/>
      <c r="N182" s="256"/>
      <c r="O182" s="256"/>
      <c r="P182" s="330"/>
    </row>
    <row r="183" spans="1:32" s="54" customFormat="1">
      <c r="A183" s="144">
        <v>167</v>
      </c>
      <c r="B183" s="143" t="s">
        <v>21</v>
      </c>
      <c r="C183" s="34" t="s">
        <v>153</v>
      </c>
      <c r="D183" s="34" t="s">
        <v>94</v>
      </c>
      <c r="E183" s="34" t="s">
        <v>611</v>
      </c>
      <c r="F183" s="144">
        <v>240</v>
      </c>
      <c r="G183" s="134">
        <f>500000+3461576-1623440</f>
        <v>2338136</v>
      </c>
      <c r="H183" s="134">
        <v>500000</v>
      </c>
      <c r="I183" s="157">
        <v>500000</v>
      </c>
      <c r="J183" s="334">
        <f>3461576-1623440</f>
        <v>1838136</v>
      </c>
      <c r="K183" s="340"/>
      <c r="M183" s="256"/>
      <c r="N183" s="256"/>
      <c r="O183" s="256"/>
      <c r="P183" s="330"/>
    </row>
    <row r="184" spans="1:32" ht="30">
      <c r="A184" s="144">
        <v>168</v>
      </c>
      <c r="B184" s="302" t="s">
        <v>264</v>
      </c>
      <c r="C184" s="34" t="s">
        <v>153</v>
      </c>
      <c r="D184" s="34" t="s">
        <v>94</v>
      </c>
      <c r="E184" s="34">
        <v>1100000000</v>
      </c>
      <c r="F184" s="144"/>
      <c r="G184" s="134">
        <f t="shared" ref="G184:H184" si="88">G189+G185</f>
        <v>5375750</v>
      </c>
      <c r="H184" s="134">
        <f t="shared" si="88"/>
        <v>6556350</v>
      </c>
      <c r="I184" s="29">
        <f t="shared" ref="I184" si="89">I189+I185</f>
        <v>6556350</v>
      </c>
      <c r="M184" s="256"/>
      <c r="N184" s="256"/>
      <c r="O184" s="256"/>
      <c r="P184" s="330"/>
      <c r="AE184" s="54"/>
      <c r="AF184" s="54"/>
    </row>
    <row r="185" spans="1:32" ht="61.5" customHeight="1">
      <c r="A185" s="144">
        <v>169</v>
      </c>
      <c r="B185" s="298" t="s">
        <v>483</v>
      </c>
      <c r="C185" s="34" t="s">
        <v>153</v>
      </c>
      <c r="D185" s="34" t="s">
        <v>94</v>
      </c>
      <c r="E185" s="34">
        <v>1140000000</v>
      </c>
      <c r="F185" s="144"/>
      <c r="G185" s="134">
        <f t="shared" ref="G185:I187" si="90">G186</f>
        <v>4276250</v>
      </c>
      <c r="H185" s="134">
        <f t="shared" si="90"/>
        <v>5541250</v>
      </c>
      <c r="I185" s="29">
        <f t="shared" si="90"/>
        <v>5541250</v>
      </c>
      <c r="M185" s="256"/>
      <c r="N185" s="256"/>
      <c r="O185" s="256"/>
      <c r="P185" s="330"/>
      <c r="AE185" s="54"/>
      <c r="AF185" s="54"/>
    </row>
    <row r="186" spans="1:32" ht="60">
      <c r="A186" s="144">
        <v>170</v>
      </c>
      <c r="B186" s="143" t="s">
        <v>422</v>
      </c>
      <c r="C186" s="34" t="s">
        <v>153</v>
      </c>
      <c r="D186" s="34" t="s">
        <v>94</v>
      </c>
      <c r="E186" s="34">
        <v>1140092040</v>
      </c>
      <c r="F186" s="144"/>
      <c r="G186" s="134">
        <f t="shared" si="90"/>
        <v>4276250</v>
      </c>
      <c r="H186" s="134">
        <f t="shared" si="90"/>
        <v>5541250</v>
      </c>
      <c r="I186" s="29">
        <f t="shared" si="90"/>
        <v>5541250</v>
      </c>
      <c r="M186" s="256"/>
      <c r="N186" s="256"/>
      <c r="O186" s="256"/>
      <c r="P186" s="330"/>
      <c r="AE186" s="54"/>
      <c r="AF186" s="54"/>
    </row>
    <row r="187" spans="1:32">
      <c r="A187" s="144">
        <v>171</v>
      </c>
      <c r="B187" s="143" t="s">
        <v>20</v>
      </c>
      <c r="C187" s="34" t="s">
        <v>153</v>
      </c>
      <c r="D187" s="34" t="s">
        <v>94</v>
      </c>
      <c r="E187" s="34">
        <v>1140092040</v>
      </c>
      <c r="F187" s="144">
        <v>200</v>
      </c>
      <c r="G187" s="134">
        <f t="shared" si="90"/>
        <v>4276250</v>
      </c>
      <c r="H187" s="134">
        <f t="shared" si="90"/>
        <v>5541250</v>
      </c>
      <c r="I187" s="29">
        <f t="shared" si="90"/>
        <v>5541250</v>
      </c>
      <c r="M187" s="256"/>
      <c r="N187" s="256"/>
      <c r="O187" s="256"/>
      <c r="P187" s="330"/>
      <c r="AE187" s="54"/>
      <c r="AF187" s="54"/>
    </row>
    <row r="188" spans="1:32">
      <c r="A188" s="144">
        <v>172</v>
      </c>
      <c r="B188" s="143" t="s">
        <v>21</v>
      </c>
      <c r="C188" s="34" t="s">
        <v>153</v>
      </c>
      <c r="D188" s="34" t="s">
        <v>94</v>
      </c>
      <c r="E188" s="34">
        <v>1140092040</v>
      </c>
      <c r="F188" s="144">
        <v>240</v>
      </c>
      <c r="G188" s="134">
        <f>5541250-1265000</f>
        <v>4276250</v>
      </c>
      <c r="H188" s="134">
        <v>5541250</v>
      </c>
      <c r="I188" s="157">
        <v>5541250</v>
      </c>
      <c r="J188" s="335">
        <v>-1265000</v>
      </c>
      <c r="K188" s="339"/>
      <c r="M188" s="256"/>
      <c r="N188" s="256"/>
      <c r="O188" s="256"/>
      <c r="P188" s="330"/>
      <c r="AE188" s="54"/>
      <c r="AF188" s="54"/>
    </row>
    <row r="189" spans="1:32">
      <c r="A189" s="144">
        <v>173</v>
      </c>
      <c r="B189" s="302" t="s">
        <v>39</v>
      </c>
      <c r="C189" s="34" t="s">
        <v>153</v>
      </c>
      <c r="D189" s="34" t="s">
        <v>94</v>
      </c>
      <c r="E189" s="34">
        <v>1190000000</v>
      </c>
      <c r="F189" s="144"/>
      <c r="G189" s="134">
        <f t="shared" ref="G189:I189" si="91">G190</f>
        <v>1099500</v>
      </c>
      <c r="H189" s="134">
        <f t="shared" si="91"/>
        <v>1015100</v>
      </c>
      <c r="I189" s="29">
        <f t="shared" si="91"/>
        <v>1015100</v>
      </c>
      <c r="M189" s="256"/>
      <c r="N189" s="256"/>
      <c r="O189" s="256"/>
      <c r="P189" s="330"/>
      <c r="AE189" s="54"/>
      <c r="AF189" s="54"/>
    </row>
    <row r="190" spans="1:32" ht="30">
      <c r="A190" s="144">
        <v>174</v>
      </c>
      <c r="B190" s="298" t="s">
        <v>265</v>
      </c>
      <c r="C190" s="34" t="s">
        <v>153</v>
      </c>
      <c r="D190" s="34" t="s">
        <v>94</v>
      </c>
      <c r="E190" s="34">
        <v>1190074670</v>
      </c>
      <c r="F190" s="144"/>
      <c r="G190" s="134">
        <f t="shared" ref="G190:H190" si="92">G191+G193</f>
        <v>1099500</v>
      </c>
      <c r="H190" s="134">
        <f t="shared" si="92"/>
        <v>1015100</v>
      </c>
      <c r="I190" s="29">
        <f t="shared" ref="I190" si="93">I191+I193</f>
        <v>1015100</v>
      </c>
      <c r="M190" s="256"/>
      <c r="N190" s="256"/>
      <c r="O190" s="256"/>
      <c r="P190" s="330"/>
      <c r="AE190" s="54"/>
      <c r="AF190" s="54"/>
    </row>
    <row r="191" spans="1:32" ht="45">
      <c r="A191" s="144">
        <v>175</v>
      </c>
      <c r="B191" s="143" t="s">
        <v>15</v>
      </c>
      <c r="C191" s="34" t="s">
        <v>153</v>
      </c>
      <c r="D191" s="34" t="s">
        <v>94</v>
      </c>
      <c r="E191" s="34">
        <v>1190074670</v>
      </c>
      <c r="F191" s="144">
        <v>100</v>
      </c>
      <c r="G191" s="134">
        <f t="shared" ref="G191:I191" si="94">G192</f>
        <v>1067738.06</v>
      </c>
      <c r="H191" s="134">
        <f t="shared" si="94"/>
        <v>958338.06</v>
      </c>
      <c r="I191" s="29">
        <f t="shared" si="94"/>
        <v>958338.06</v>
      </c>
      <c r="M191" s="256"/>
      <c r="N191" s="256"/>
      <c r="O191" s="256"/>
      <c r="P191" s="330"/>
      <c r="AE191" s="54"/>
      <c r="AF191" s="54"/>
    </row>
    <row r="192" spans="1:32">
      <c r="A192" s="144">
        <v>176</v>
      </c>
      <c r="B192" s="143" t="s">
        <v>16</v>
      </c>
      <c r="C192" s="34" t="s">
        <v>153</v>
      </c>
      <c r="D192" s="34" t="s">
        <v>94</v>
      </c>
      <c r="E192" s="34">
        <v>1190074670</v>
      </c>
      <c r="F192" s="144">
        <v>120</v>
      </c>
      <c r="G192" s="134">
        <f>958338.06+84400+25000</f>
        <v>1067738.06</v>
      </c>
      <c r="H192" s="134">
        <v>958338.06</v>
      </c>
      <c r="I192" s="157">
        <v>958338.06</v>
      </c>
      <c r="J192" s="254"/>
      <c r="M192" s="256"/>
      <c r="N192" s="256"/>
      <c r="O192" s="256"/>
      <c r="P192" s="330"/>
      <c r="AE192" s="54"/>
      <c r="AF192" s="54"/>
    </row>
    <row r="193" spans="1:32">
      <c r="A193" s="144">
        <v>177</v>
      </c>
      <c r="B193" s="143" t="s">
        <v>20</v>
      </c>
      <c r="C193" s="34" t="s">
        <v>153</v>
      </c>
      <c r="D193" s="34" t="s">
        <v>94</v>
      </c>
      <c r="E193" s="34">
        <v>1190074670</v>
      </c>
      <c r="F193" s="144">
        <v>200</v>
      </c>
      <c r="G193" s="134">
        <f t="shared" ref="G193:I193" si="95">G194</f>
        <v>31761.940000000002</v>
      </c>
      <c r="H193" s="134">
        <f t="shared" si="95"/>
        <v>56761.94</v>
      </c>
      <c r="I193" s="29">
        <f t="shared" si="95"/>
        <v>56761.94</v>
      </c>
      <c r="J193" s="254"/>
      <c r="M193" s="256"/>
      <c r="N193" s="256"/>
      <c r="O193" s="256"/>
      <c r="P193" s="330"/>
      <c r="AE193" s="54"/>
      <c r="AF193" s="54"/>
    </row>
    <row r="194" spans="1:32">
      <c r="A194" s="144">
        <v>178</v>
      </c>
      <c r="B194" s="143" t="s">
        <v>21</v>
      </c>
      <c r="C194" s="34" t="s">
        <v>153</v>
      </c>
      <c r="D194" s="34" t="s">
        <v>94</v>
      </c>
      <c r="E194" s="34">
        <v>1190074670</v>
      </c>
      <c r="F194" s="144">
        <v>240</v>
      </c>
      <c r="G194" s="134">
        <f>56761.94-25000</f>
        <v>31761.940000000002</v>
      </c>
      <c r="H194" s="134">
        <v>56761.94</v>
      </c>
      <c r="I194" s="157">
        <v>56761.94</v>
      </c>
      <c r="J194" s="254"/>
      <c r="M194" s="256"/>
      <c r="N194" s="256"/>
      <c r="O194" s="256"/>
      <c r="P194" s="330"/>
      <c r="AE194" s="54"/>
      <c r="AF194" s="54"/>
    </row>
    <row r="195" spans="1:32">
      <c r="A195" s="144">
        <v>179</v>
      </c>
      <c r="B195" s="143" t="s">
        <v>98</v>
      </c>
      <c r="C195" s="34" t="s">
        <v>153</v>
      </c>
      <c r="D195" s="34" t="s">
        <v>99</v>
      </c>
      <c r="E195" s="34"/>
      <c r="F195" s="144"/>
      <c r="G195" s="134">
        <f t="shared" ref="G195:G196" si="96">G196</f>
        <v>583054.56000000006</v>
      </c>
      <c r="H195" s="134">
        <f t="shared" ref="H195:I196" si="97">H196</f>
        <v>300000</v>
      </c>
      <c r="I195" s="29">
        <f t="shared" si="97"/>
        <v>255000</v>
      </c>
      <c r="M195" s="256"/>
      <c r="N195" s="256"/>
      <c r="O195" s="256"/>
      <c r="P195" s="330"/>
      <c r="AE195" s="54"/>
      <c r="AF195" s="54"/>
    </row>
    <row r="196" spans="1:32" ht="38.25" customHeight="1">
      <c r="A196" s="144">
        <v>180</v>
      </c>
      <c r="B196" s="143" t="s">
        <v>434</v>
      </c>
      <c r="C196" s="34" t="s">
        <v>153</v>
      </c>
      <c r="D196" s="34" t="s">
        <v>379</v>
      </c>
      <c r="E196" s="34"/>
      <c r="F196" s="144"/>
      <c r="G196" s="134">
        <f t="shared" si="96"/>
        <v>583054.56000000006</v>
      </c>
      <c r="H196" s="134">
        <f t="shared" si="97"/>
        <v>300000</v>
      </c>
      <c r="I196" s="29">
        <f t="shared" si="97"/>
        <v>255000</v>
      </c>
      <c r="M196" s="256"/>
      <c r="N196" s="256"/>
      <c r="O196" s="256"/>
      <c r="P196" s="330"/>
      <c r="AE196" s="54"/>
      <c r="AF196" s="54"/>
    </row>
    <row r="197" spans="1:32" ht="31.5" customHeight="1">
      <c r="A197" s="144">
        <v>181</v>
      </c>
      <c r="B197" s="143" t="s">
        <v>148</v>
      </c>
      <c r="C197" s="34" t="s">
        <v>153</v>
      </c>
      <c r="D197" s="34" t="s">
        <v>379</v>
      </c>
      <c r="E197" s="34" t="s">
        <v>187</v>
      </c>
      <c r="F197" s="144"/>
      <c r="G197" s="134">
        <f>G198+G205</f>
        <v>583054.56000000006</v>
      </c>
      <c r="H197" s="134">
        <f>H198+H205</f>
        <v>300000</v>
      </c>
      <c r="I197" s="29">
        <f>I198+I205</f>
        <v>255000</v>
      </c>
      <c r="M197" s="256"/>
      <c r="N197" s="256"/>
      <c r="O197" s="256"/>
      <c r="P197" s="330"/>
      <c r="AE197" s="54"/>
      <c r="AF197" s="54"/>
    </row>
    <row r="198" spans="1:32" ht="31.5" customHeight="1">
      <c r="A198" s="144">
        <v>182</v>
      </c>
      <c r="B198" s="307" t="s">
        <v>294</v>
      </c>
      <c r="C198" s="34" t="s">
        <v>153</v>
      </c>
      <c r="D198" s="34" t="s">
        <v>379</v>
      </c>
      <c r="E198" s="34" t="s">
        <v>188</v>
      </c>
      <c r="F198" s="144"/>
      <c r="G198" s="134">
        <f>G199+G202</f>
        <v>473054.56</v>
      </c>
      <c r="H198" s="134">
        <f t="shared" ref="H198:I198" si="98">H199+H202</f>
        <v>190000</v>
      </c>
      <c r="I198" s="29">
        <f t="shared" si="98"/>
        <v>190000</v>
      </c>
      <c r="M198" s="256"/>
      <c r="N198" s="256"/>
      <c r="O198" s="256"/>
      <c r="P198" s="330"/>
      <c r="AE198" s="54"/>
      <c r="AF198" s="54"/>
    </row>
    <row r="199" spans="1:32" ht="87" customHeight="1">
      <c r="A199" s="144">
        <v>183</v>
      </c>
      <c r="B199" s="143" t="s">
        <v>594</v>
      </c>
      <c r="C199" s="34" t="s">
        <v>153</v>
      </c>
      <c r="D199" s="34" t="s">
        <v>379</v>
      </c>
      <c r="E199" s="34" t="s">
        <v>439</v>
      </c>
      <c r="F199" s="144"/>
      <c r="G199" s="134">
        <f t="shared" ref="G199:G200" si="99">G200</f>
        <v>189500</v>
      </c>
      <c r="H199" s="134">
        <f t="shared" ref="H199:I200" si="100">H200</f>
        <v>190000</v>
      </c>
      <c r="I199" s="29">
        <f t="shared" si="100"/>
        <v>190000</v>
      </c>
      <c r="M199" s="256"/>
      <c r="N199" s="256"/>
      <c r="O199" s="256"/>
      <c r="P199" s="330"/>
      <c r="AE199" s="54"/>
      <c r="AF199" s="54"/>
    </row>
    <row r="200" spans="1:32" ht="23.25" customHeight="1">
      <c r="A200" s="144">
        <v>184</v>
      </c>
      <c r="B200" s="143" t="s">
        <v>20</v>
      </c>
      <c r="C200" s="34" t="s">
        <v>153</v>
      </c>
      <c r="D200" s="34" t="s">
        <v>379</v>
      </c>
      <c r="E200" s="34" t="s">
        <v>439</v>
      </c>
      <c r="F200" s="144">
        <v>200</v>
      </c>
      <c r="G200" s="134">
        <f t="shared" si="99"/>
        <v>189500</v>
      </c>
      <c r="H200" s="134">
        <f t="shared" si="100"/>
        <v>190000</v>
      </c>
      <c r="I200" s="29">
        <f t="shared" si="100"/>
        <v>190000</v>
      </c>
      <c r="J200" s="254"/>
      <c r="M200" s="256"/>
      <c r="N200" s="256"/>
      <c r="O200" s="256"/>
      <c r="P200" s="330"/>
      <c r="AE200" s="54"/>
      <c r="AF200" s="54"/>
    </row>
    <row r="201" spans="1:32" ht="23.25" customHeight="1">
      <c r="A201" s="144">
        <v>185</v>
      </c>
      <c r="B201" s="143" t="s">
        <v>21</v>
      </c>
      <c r="C201" s="34" t="s">
        <v>153</v>
      </c>
      <c r="D201" s="34" t="s">
        <v>379</v>
      </c>
      <c r="E201" s="34" t="s">
        <v>439</v>
      </c>
      <c r="F201" s="144">
        <v>240</v>
      </c>
      <c r="G201" s="134">
        <f>190000-500</f>
        <v>189500</v>
      </c>
      <c r="H201" s="134">
        <v>190000</v>
      </c>
      <c r="I201" s="157">
        <v>190000</v>
      </c>
      <c r="J201" s="254"/>
      <c r="M201" s="256"/>
      <c r="N201" s="256"/>
      <c r="O201" s="256"/>
      <c r="P201" s="330"/>
      <c r="AE201" s="54"/>
      <c r="AF201" s="54"/>
    </row>
    <row r="202" spans="1:32" ht="81.75" customHeight="1">
      <c r="A202" s="144">
        <v>186</v>
      </c>
      <c r="B202" s="326" t="s">
        <v>593</v>
      </c>
      <c r="C202" s="34" t="s">
        <v>153</v>
      </c>
      <c r="D202" s="34" t="s">
        <v>379</v>
      </c>
      <c r="E202" s="34" t="s">
        <v>592</v>
      </c>
      <c r="F202" s="144"/>
      <c r="G202" s="134">
        <f>G203</f>
        <v>283554.56</v>
      </c>
      <c r="H202" s="134">
        <f t="shared" ref="H202:I202" si="101">H203</f>
        <v>0</v>
      </c>
      <c r="I202" s="29">
        <f t="shared" si="101"/>
        <v>0</v>
      </c>
      <c r="J202" s="254"/>
      <c r="M202" s="256"/>
      <c r="N202" s="256"/>
      <c r="O202" s="256"/>
      <c r="P202" s="330"/>
      <c r="AE202" s="54"/>
      <c r="AF202" s="54"/>
    </row>
    <row r="203" spans="1:32" ht="23.25" customHeight="1">
      <c r="A203" s="144">
        <v>187</v>
      </c>
      <c r="B203" s="143" t="s">
        <v>537</v>
      </c>
      <c r="C203" s="34" t="s">
        <v>153</v>
      </c>
      <c r="D203" s="34" t="s">
        <v>379</v>
      </c>
      <c r="E203" s="34" t="s">
        <v>592</v>
      </c>
      <c r="F203" s="144">
        <v>200</v>
      </c>
      <c r="G203" s="134">
        <f>G204</f>
        <v>283554.56</v>
      </c>
      <c r="H203" s="134">
        <f t="shared" ref="H203:I203" si="102">H204</f>
        <v>0</v>
      </c>
      <c r="I203" s="29">
        <f t="shared" si="102"/>
        <v>0</v>
      </c>
      <c r="J203" s="254"/>
      <c r="M203" s="256"/>
      <c r="N203" s="256"/>
      <c r="O203" s="256"/>
      <c r="P203" s="330"/>
      <c r="AE203" s="54"/>
      <c r="AF203" s="54"/>
    </row>
    <row r="204" spans="1:32" ht="23.25" customHeight="1">
      <c r="A204" s="144">
        <v>188</v>
      </c>
      <c r="B204" s="143" t="s">
        <v>538</v>
      </c>
      <c r="C204" s="34" t="s">
        <v>153</v>
      </c>
      <c r="D204" s="34" t="s">
        <v>379</v>
      </c>
      <c r="E204" s="34" t="s">
        <v>592</v>
      </c>
      <c r="F204" s="144">
        <v>240</v>
      </c>
      <c r="G204" s="134">
        <f>500+283054.56</f>
        <v>283554.56</v>
      </c>
      <c r="H204" s="134">
        <v>0</v>
      </c>
      <c r="I204" s="157">
        <v>0</v>
      </c>
      <c r="J204" s="245">
        <v>283054.56</v>
      </c>
      <c r="M204" s="256"/>
      <c r="N204" s="256"/>
      <c r="O204" s="256"/>
      <c r="P204" s="330"/>
      <c r="AE204" s="54"/>
      <c r="AF204" s="54"/>
    </row>
    <row r="205" spans="1:32" ht="33.75" customHeight="1">
      <c r="A205" s="144">
        <v>189</v>
      </c>
      <c r="B205" s="143" t="s">
        <v>401</v>
      </c>
      <c r="C205" s="34" t="s">
        <v>153</v>
      </c>
      <c r="D205" s="34" t="s">
        <v>379</v>
      </c>
      <c r="E205" s="34" t="s">
        <v>435</v>
      </c>
      <c r="F205" s="144"/>
      <c r="G205" s="134">
        <f t="shared" ref="G205:H205" si="103">G206+G209+G212</f>
        <v>110000</v>
      </c>
      <c r="H205" s="134">
        <f t="shared" si="103"/>
        <v>110000</v>
      </c>
      <c r="I205" s="29">
        <f t="shared" ref="I205" si="104">I206+I209+I212</f>
        <v>65000</v>
      </c>
      <c r="M205" s="256"/>
      <c r="N205" s="256"/>
      <c r="O205" s="256"/>
      <c r="P205" s="330"/>
      <c r="AE205" s="54"/>
      <c r="AF205" s="54"/>
    </row>
    <row r="206" spans="1:32" ht="68.25" customHeight="1">
      <c r="A206" s="144">
        <v>190</v>
      </c>
      <c r="B206" s="143" t="s">
        <v>595</v>
      </c>
      <c r="C206" s="34" t="s">
        <v>153</v>
      </c>
      <c r="D206" s="34" t="s">
        <v>379</v>
      </c>
      <c r="E206" s="34" t="s">
        <v>437</v>
      </c>
      <c r="F206" s="144"/>
      <c r="G206" s="134">
        <f t="shared" ref="G206:I207" si="105">G207</f>
        <v>50000</v>
      </c>
      <c r="H206" s="134">
        <f t="shared" si="105"/>
        <v>50000</v>
      </c>
      <c r="I206" s="29">
        <f t="shared" si="105"/>
        <v>5000</v>
      </c>
      <c r="M206" s="256"/>
      <c r="N206" s="256"/>
      <c r="O206" s="256"/>
      <c r="P206" s="330"/>
      <c r="AE206" s="54"/>
      <c r="AF206" s="54"/>
    </row>
    <row r="207" spans="1:32" ht="20.25" customHeight="1">
      <c r="A207" s="144">
        <v>191</v>
      </c>
      <c r="B207" s="143" t="s">
        <v>20</v>
      </c>
      <c r="C207" s="34" t="s">
        <v>153</v>
      </c>
      <c r="D207" s="34" t="s">
        <v>379</v>
      </c>
      <c r="E207" s="34" t="s">
        <v>437</v>
      </c>
      <c r="F207" s="144">
        <v>200</v>
      </c>
      <c r="G207" s="134">
        <f t="shared" si="105"/>
        <v>50000</v>
      </c>
      <c r="H207" s="134">
        <f t="shared" si="105"/>
        <v>50000</v>
      </c>
      <c r="I207" s="29">
        <f t="shared" si="105"/>
        <v>5000</v>
      </c>
      <c r="M207" s="256"/>
      <c r="N207" s="256"/>
      <c r="O207" s="256"/>
      <c r="P207" s="330"/>
      <c r="AE207" s="54"/>
      <c r="AF207" s="54"/>
    </row>
    <row r="208" spans="1:32" ht="21" customHeight="1">
      <c r="A208" s="144">
        <v>192</v>
      </c>
      <c r="B208" s="143" t="s">
        <v>21</v>
      </c>
      <c r="C208" s="34" t="s">
        <v>153</v>
      </c>
      <c r="D208" s="34" t="s">
        <v>379</v>
      </c>
      <c r="E208" s="34" t="s">
        <v>437</v>
      </c>
      <c r="F208" s="144">
        <v>240</v>
      </c>
      <c r="G208" s="134">
        <v>50000</v>
      </c>
      <c r="H208" s="134">
        <v>50000</v>
      </c>
      <c r="I208" s="157">
        <v>5000</v>
      </c>
      <c r="M208" s="256"/>
      <c r="N208" s="256"/>
      <c r="O208" s="256"/>
      <c r="P208" s="330"/>
      <c r="AE208" s="54"/>
      <c r="AF208" s="54"/>
    </row>
    <row r="209" spans="1:32" ht="72" customHeight="1">
      <c r="A209" s="144">
        <v>193</v>
      </c>
      <c r="B209" s="143" t="s">
        <v>596</v>
      </c>
      <c r="C209" s="34" t="s">
        <v>153</v>
      </c>
      <c r="D209" s="34" t="s">
        <v>379</v>
      </c>
      <c r="E209" s="34" t="s">
        <v>438</v>
      </c>
      <c r="F209" s="144"/>
      <c r="G209" s="134">
        <f t="shared" ref="G209:I210" si="106">G210</f>
        <v>30000</v>
      </c>
      <c r="H209" s="134">
        <f t="shared" si="106"/>
        <v>30000</v>
      </c>
      <c r="I209" s="29">
        <f t="shared" si="106"/>
        <v>30000</v>
      </c>
      <c r="M209" s="256"/>
      <c r="N209" s="256"/>
      <c r="O209" s="256"/>
      <c r="P209" s="330"/>
      <c r="AE209" s="54"/>
      <c r="AF209" s="54"/>
    </row>
    <row r="210" spans="1:32" ht="21" customHeight="1">
      <c r="A210" s="144">
        <v>194</v>
      </c>
      <c r="B210" s="143" t="s">
        <v>20</v>
      </c>
      <c r="C210" s="34" t="s">
        <v>153</v>
      </c>
      <c r="D210" s="34" t="s">
        <v>379</v>
      </c>
      <c r="E210" s="34" t="s">
        <v>438</v>
      </c>
      <c r="F210" s="144">
        <v>200</v>
      </c>
      <c r="G210" s="134">
        <f t="shared" si="106"/>
        <v>30000</v>
      </c>
      <c r="H210" s="134">
        <f t="shared" si="106"/>
        <v>30000</v>
      </c>
      <c r="I210" s="29">
        <f t="shared" si="106"/>
        <v>30000</v>
      </c>
      <c r="M210" s="256"/>
      <c r="N210" s="256"/>
      <c r="O210" s="256"/>
      <c r="P210" s="330"/>
      <c r="AE210" s="54"/>
      <c r="AF210" s="54"/>
    </row>
    <row r="211" spans="1:32" ht="18" customHeight="1">
      <c r="A211" s="144">
        <v>195</v>
      </c>
      <c r="B211" s="143" t="s">
        <v>21</v>
      </c>
      <c r="C211" s="34" t="s">
        <v>153</v>
      </c>
      <c r="D211" s="34" t="s">
        <v>379</v>
      </c>
      <c r="E211" s="34" t="s">
        <v>438</v>
      </c>
      <c r="F211" s="144">
        <v>240</v>
      </c>
      <c r="G211" s="134">
        <v>30000</v>
      </c>
      <c r="H211" s="134">
        <v>30000</v>
      </c>
      <c r="I211" s="157">
        <v>30000</v>
      </c>
      <c r="M211" s="256"/>
      <c r="N211" s="256"/>
      <c r="O211" s="256"/>
      <c r="P211" s="330"/>
      <c r="AE211" s="54"/>
      <c r="AF211" s="54"/>
    </row>
    <row r="212" spans="1:32" ht="60.75" customHeight="1">
      <c r="A212" s="144">
        <v>196</v>
      </c>
      <c r="B212" s="143" t="s">
        <v>597</v>
      </c>
      <c r="C212" s="34" t="s">
        <v>153</v>
      </c>
      <c r="D212" s="34" t="s">
        <v>379</v>
      </c>
      <c r="E212" s="34" t="s">
        <v>440</v>
      </c>
      <c r="F212" s="144"/>
      <c r="G212" s="134">
        <f t="shared" ref="G212:I213" si="107">G213</f>
        <v>30000</v>
      </c>
      <c r="H212" s="134">
        <f t="shared" si="107"/>
        <v>30000</v>
      </c>
      <c r="I212" s="29">
        <f t="shared" si="107"/>
        <v>30000</v>
      </c>
      <c r="M212" s="256"/>
      <c r="N212" s="256"/>
      <c r="O212" s="256"/>
      <c r="P212" s="330"/>
      <c r="AE212" s="54"/>
      <c r="AF212" s="54"/>
    </row>
    <row r="213" spans="1:32" ht="18" customHeight="1">
      <c r="A213" s="144">
        <v>197</v>
      </c>
      <c r="B213" s="143" t="s">
        <v>20</v>
      </c>
      <c r="C213" s="34" t="s">
        <v>153</v>
      </c>
      <c r="D213" s="34" t="s">
        <v>379</v>
      </c>
      <c r="E213" s="34" t="s">
        <v>440</v>
      </c>
      <c r="F213" s="144">
        <v>200</v>
      </c>
      <c r="G213" s="134">
        <f t="shared" si="107"/>
        <v>30000</v>
      </c>
      <c r="H213" s="134">
        <f t="shared" si="107"/>
        <v>30000</v>
      </c>
      <c r="I213" s="29">
        <f t="shared" si="107"/>
        <v>30000</v>
      </c>
      <c r="M213" s="256"/>
      <c r="N213" s="256"/>
      <c r="O213" s="256"/>
      <c r="P213" s="330"/>
      <c r="AE213" s="54"/>
      <c r="AF213" s="54"/>
    </row>
    <row r="214" spans="1:32" ht="22.5" customHeight="1">
      <c r="A214" s="144">
        <v>198</v>
      </c>
      <c r="B214" s="143" t="s">
        <v>21</v>
      </c>
      <c r="C214" s="34" t="s">
        <v>153</v>
      </c>
      <c r="D214" s="34" t="s">
        <v>379</v>
      </c>
      <c r="E214" s="34" t="s">
        <v>440</v>
      </c>
      <c r="F214" s="144">
        <v>240</v>
      </c>
      <c r="G214" s="134">
        <v>30000</v>
      </c>
      <c r="H214" s="134">
        <v>30000</v>
      </c>
      <c r="I214" s="157">
        <v>30000</v>
      </c>
      <c r="M214" s="256"/>
      <c r="N214" s="256"/>
      <c r="O214" s="256"/>
      <c r="P214" s="330"/>
      <c r="AE214" s="54"/>
      <c r="AF214" s="54"/>
    </row>
    <row r="215" spans="1:32">
      <c r="A215" s="144">
        <v>199</v>
      </c>
      <c r="B215" s="297" t="s">
        <v>100</v>
      </c>
      <c r="C215" s="34" t="s">
        <v>153</v>
      </c>
      <c r="D215" s="34" t="s">
        <v>101</v>
      </c>
      <c r="E215" s="34"/>
      <c r="F215" s="144"/>
      <c r="G215" s="134">
        <f>G224+G232+G251+G245+G216</f>
        <v>37939597.039999999</v>
      </c>
      <c r="H215" s="134">
        <f t="shared" ref="H215:I215" si="108">H224+H232+H251+H245+H216</f>
        <v>34244925.43</v>
      </c>
      <c r="I215" s="29">
        <f t="shared" si="108"/>
        <v>34255425.43</v>
      </c>
      <c r="M215" s="256"/>
      <c r="N215" s="256"/>
      <c r="O215" s="256"/>
      <c r="P215" s="330"/>
      <c r="AE215" s="54"/>
      <c r="AF215" s="54"/>
    </row>
    <row r="216" spans="1:32">
      <c r="A216" s="144">
        <v>200</v>
      </c>
      <c r="B216" s="300" t="s">
        <v>24</v>
      </c>
      <c r="C216" s="34" t="s">
        <v>153</v>
      </c>
      <c r="D216" s="34" t="s">
        <v>103</v>
      </c>
      <c r="E216" s="34"/>
      <c r="F216" s="144"/>
      <c r="G216" s="134">
        <f>G217</f>
        <v>246900</v>
      </c>
      <c r="H216" s="134">
        <f t="shared" ref="H216:I218" si="109">H217</f>
        <v>230000</v>
      </c>
      <c r="I216" s="29">
        <f t="shared" si="109"/>
        <v>230000</v>
      </c>
      <c r="M216" s="256"/>
      <c r="N216" s="256"/>
      <c r="O216" s="256"/>
      <c r="P216" s="330"/>
      <c r="AE216" s="54"/>
      <c r="AF216" s="54"/>
    </row>
    <row r="217" spans="1:32">
      <c r="A217" s="144">
        <v>201</v>
      </c>
      <c r="B217" s="299" t="s">
        <v>255</v>
      </c>
      <c r="C217" s="34" t="s">
        <v>153</v>
      </c>
      <c r="D217" s="34" t="s">
        <v>103</v>
      </c>
      <c r="E217" s="34">
        <v>8500000000</v>
      </c>
      <c r="F217" s="144"/>
      <c r="G217" s="134">
        <f>G218</f>
        <v>246900</v>
      </c>
      <c r="H217" s="134">
        <f t="shared" si="109"/>
        <v>230000</v>
      </c>
      <c r="I217" s="29">
        <f t="shared" si="109"/>
        <v>230000</v>
      </c>
      <c r="M217" s="256"/>
      <c r="N217" s="256"/>
      <c r="O217" s="256"/>
      <c r="P217" s="330"/>
      <c r="AE217" s="54"/>
      <c r="AF217" s="54"/>
    </row>
    <row r="218" spans="1:32">
      <c r="A218" s="144">
        <v>202</v>
      </c>
      <c r="B218" s="299" t="s">
        <v>256</v>
      </c>
      <c r="C218" s="34" t="s">
        <v>153</v>
      </c>
      <c r="D218" s="34" t="s">
        <v>103</v>
      </c>
      <c r="E218" s="34">
        <v>8510000000</v>
      </c>
      <c r="F218" s="144"/>
      <c r="G218" s="134">
        <f>G219</f>
        <v>246900</v>
      </c>
      <c r="H218" s="134">
        <f t="shared" si="109"/>
        <v>230000</v>
      </c>
      <c r="I218" s="29">
        <f t="shared" si="109"/>
        <v>230000</v>
      </c>
      <c r="M218" s="256"/>
      <c r="N218" s="256"/>
      <c r="O218" s="256"/>
      <c r="P218" s="330"/>
      <c r="AE218" s="54"/>
      <c r="AF218" s="54"/>
    </row>
    <row r="219" spans="1:32" ht="30">
      <c r="A219" s="144">
        <v>203</v>
      </c>
      <c r="B219" s="308" t="s">
        <v>515</v>
      </c>
      <c r="C219" s="34" t="s">
        <v>153</v>
      </c>
      <c r="D219" s="34" t="s">
        <v>103</v>
      </c>
      <c r="E219" s="34" t="s">
        <v>516</v>
      </c>
      <c r="F219" s="144"/>
      <c r="G219" s="134">
        <f>G220+G222</f>
        <v>246900</v>
      </c>
      <c r="H219" s="134">
        <f t="shared" ref="H219:I219" si="110">H220+H222</f>
        <v>230000</v>
      </c>
      <c r="I219" s="29">
        <f t="shared" si="110"/>
        <v>230000</v>
      </c>
      <c r="M219" s="256"/>
      <c r="N219" s="256"/>
      <c r="O219" s="256"/>
      <c r="P219" s="330"/>
      <c r="AE219" s="54"/>
      <c r="AF219" s="54"/>
    </row>
    <row r="220" spans="1:32" ht="45">
      <c r="A220" s="144">
        <v>204</v>
      </c>
      <c r="B220" s="143" t="s">
        <v>15</v>
      </c>
      <c r="C220" s="34" t="s">
        <v>153</v>
      </c>
      <c r="D220" s="34" t="s">
        <v>103</v>
      </c>
      <c r="E220" s="34" t="s">
        <v>516</v>
      </c>
      <c r="F220" s="144">
        <v>100</v>
      </c>
      <c r="G220" s="134">
        <f>G221</f>
        <v>219161.62</v>
      </c>
      <c r="H220" s="134">
        <f t="shared" ref="H220:I220" si="111">H221</f>
        <v>202261.62</v>
      </c>
      <c r="I220" s="29">
        <f t="shared" si="111"/>
        <v>202261.62</v>
      </c>
      <c r="M220" s="256"/>
      <c r="N220" s="256"/>
      <c r="O220" s="256"/>
      <c r="P220" s="330"/>
      <c r="AE220" s="54"/>
      <c r="AF220" s="54"/>
    </row>
    <row r="221" spans="1:32">
      <c r="A221" s="144">
        <v>205</v>
      </c>
      <c r="B221" s="143" t="s">
        <v>16</v>
      </c>
      <c r="C221" s="34" t="s">
        <v>153</v>
      </c>
      <c r="D221" s="34" t="s">
        <v>103</v>
      </c>
      <c r="E221" s="34" t="s">
        <v>516</v>
      </c>
      <c r="F221" s="144">
        <v>120</v>
      </c>
      <c r="G221" s="134">
        <f>202261.62+16900</f>
        <v>219161.62</v>
      </c>
      <c r="H221" s="134">
        <v>202261.62</v>
      </c>
      <c r="I221" s="29">
        <v>202261.62</v>
      </c>
      <c r="M221" s="256"/>
      <c r="N221" s="256"/>
      <c r="O221" s="256"/>
      <c r="P221" s="330"/>
      <c r="AE221" s="54"/>
      <c r="AF221" s="54"/>
    </row>
    <row r="222" spans="1:32">
      <c r="A222" s="144">
        <v>206</v>
      </c>
      <c r="B222" s="143" t="s">
        <v>20</v>
      </c>
      <c r="C222" s="34" t="s">
        <v>153</v>
      </c>
      <c r="D222" s="34" t="s">
        <v>103</v>
      </c>
      <c r="E222" s="34" t="s">
        <v>516</v>
      </c>
      <c r="F222" s="144">
        <v>200</v>
      </c>
      <c r="G222" s="134">
        <f>G223</f>
        <v>27738.38</v>
      </c>
      <c r="H222" s="134">
        <f t="shared" ref="H222:I222" si="112">H223</f>
        <v>27738.38</v>
      </c>
      <c r="I222" s="29">
        <f t="shared" si="112"/>
        <v>27738.38</v>
      </c>
      <c r="M222" s="256"/>
      <c r="N222" s="256"/>
      <c r="O222" s="256"/>
      <c r="P222" s="330"/>
      <c r="AE222" s="54"/>
      <c r="AF222" s="54"/>
    </row>
    <row r="223" spans="1:32">
      <c r="A223" s="144">
        <v>207</v>
      </c>
      <c r="B223" s="143" t="s">
        <v>21</v>
      </c>
      <c r="C223" s="34" t="s">
        <v>153</v>
      </c>
      <c r="D223" s="34" t="s">
        <v>103</v>
      </c>
      <c r="E223" s="34" t="s">
        <v>516</v>
      </c>
      <c r="F223" s="144">
        <v>240</v>
      </c>
      <c r="G223" s="134">
        <v>27738.38</v>
      </c>
      <c r="H223" s="134">
        <v>27738.38</v>
      </c>
      <c r="I223" s="29">
        <v>27738.38</v>
      </c>
      <c r="M223" s="256"/>
      <c r="N223" s="256"/>
      <c r="O223" s="256"/>
      <c r="P223" s="330"/>
      <c r="AE223" s="54"/>
      <c r="AF223" s="54"/>
    </row>
    <row r="224" spans="1:32">
      <c r="A224" s="144">
        <v>208</v>
      </c>
      <c r="B224" s="302" t="s">
        <v>41</v>
      </c>
      <c r="C224" s="34" t="s">
        <v>153</v>
      </c>
      <c r="D224" s="34" t="s">
        <v>104</v>
      </c>
      <c r="E224" s="34"/>
      <c r="F224" s="144"/>
      <c r="G224" s="134">
        <f t="shared" ref="G224:I226" si="113">G225</f>
        <v>1147100</v>
      </c>
      <c r="H224" s="134">
        <f t="shared" si="113"/>
        <v>1062700</v>
      </c>
      <c r="I224" s="29">
        <f t="shared" si="113"/>
        <v>1062700</v>
      </c>
      <c r="M224" s="256"/>
      <c r="N224" s="256"/>
      <c r="O224" s="256"/>
      <c r="P224" s="330"/>
      <c r="AE224" s="54"/>
      <c r="AF224" s="54"/>
    </row>
    <row r="225" spans="1:32" ht="30">
      <c r="A225" s="144">
        <v>209</v>
      </c>
      <c r="B225" s="300" t="s">
        <v>376</v>
      </c>
      <c r="C225" s="34" t="s">
        <v>153</v>
      </c>
      <c r="D225" s="34" t="s">
        <v>104</v>
      </c>
      <c r="E225" s="34" t="s">
        <v>180</v>
      </c>
      <c r="F225" s="144"/>
      <c r="G225" s="134">
        <f t="shared" si="113"/>
        <v>1147100</v>
      </c>
      <c r="H225" s="134">
        <f t="shared" si="113"/>
        <v>1062700</v>
      </c>
      <c r="I225" s="29">
        <f t="shared" si="113"/>
        <v>1062700</v>
      </c>
      <c r="M225" s="256"/>
      <c r="N225" s="256"/>
      <c r="O225" s="256"/>
      <c r="P225" s="330"/>
      <c r="AE225" s="54"/>
      <c r="AF225" s="54"/>
    </row>
    <row r="226" spans="1:32">
      <c r="A226" s="144">
        <v>210</v>
      </c>
      <c r="B226" s="300" t="s">
        <v>266</v>
      </c>
      <c r="C226" s="34" t="s">
        <v>153</v>
      </c>
      <c r="D226" s="34" t="s">
        <v>104</v>
      </c>
      <c r="E226" s="34" t="s">
        <v>486</v>
      </c>
      <c r="F226" s="144"/>
      <c r="G226" s="134">
        <f t="shared" si="113"/>
        <v>1147100</v>
      </c>
      <c r="H226" s="134">
        <f t="shared" si="113"/>
        <v>1062700</v>
      </c>
      <c r="I226" s="29">
        <f t="shared" si="113"/>
        <v>1062700</v>
      </c>
      <c r="M226" s="256"/>
      <c r="N226" s="256"/>
      <c r="O226" s="256"/>
      <c r="P226" s="330"/>
      <c r="AE226" s="54"/>
      <c r="AF226" s="54"/>
    </row>
    <row r="227" spans="1:32" ht="30">
      <c r="A227" s="144">
        <v>211</v>
      </c>
      <c r="B227" s="307" t="s">
        <v>42</v>
      </c>
      <c r="C227" s="34" t="s">
        <v>153</v>
      </c>
      <c r="D227" s="34" t="s">
        <v>104</v>
      </c>
      <c r="E227" s="34" t="s">
        <v>487</v>
      </c>
      <c r="F227" s="144"/>
      <c r="G227" s="134">
        <f t="shared" ref="G227:H227" si="114">G228+G230</f>
        <v>1147100</v>
      </c>
      <c r="H227" s="134">
        <f t="shared" si="114"/>
        <v>1062700</v>
      </c>
      <c r="I227" s="29">
        <f t="shared" ref="I227" si="115">I228+I230</f>
        <v>1062700</v>
      </c>
      <c r="M227" s="256"/>
      <c r="N227" s="256"/>
      <c r="O227" s="256"/>
      <c r="P227" s="330"/>
      <c r="AE227" s="54"/>
      <c r="AF227" s="54"/>
    </row>
    <row r="228" spans="1:32" ht="45">
      <c r="A228" s="144">
        <v>212</v>
      </c>
      <c r="B228" s="143" t="s">
        <v>15</v>
      </c>
      <c r="C228" s="34" t="s">
        <v>153</v>
      </c>
      <c r="D228" s="34" t="s">
        <v>104</v>
      </c>
      <c r="E228" s="34" t="s">
        <v>487</v>
      </c>
      <c r="F228" s="144">
        <v>100</v>
      </c>
      <c r="G228" s="134">
        <f t="shared" ref="G228:I228" si="116">G229</f>
        <v>1042738.06</v>
      </c>
      <c r="H228" s="134">
        <f t="shared" si="116"/>
        <v>958338.06</v>
      </c>
      <c r="I228" s="29">
        <f t="shared" si="116"/>
        <v>958338.06</v>
      </c>
      <c r="M228" s="256"/>
      <c r="N228" s="256"/>
      <c r="O228" s="256"/>
      <c r="P228" s="330"/>
      <c r="AE228" s="54"/>
      <c r="AF228" s="54"/>
    </row>
    <row r="229" spans="1:32">
      <c r="A229" s="144">
        <v>213</v>
      </c>
      <c r="B229" s="143" t="s">
        <v>16</v>
      </c>
      <c r="C229" s="34" t="s">
        <v>153</v>
      </c>
      <c r="D229" s="34" t="s">
        <v>104</v>
      </c>
      <c r="E229" s="34" t="s">
        <v>487</v>
      </c>
      <c r="F229" s="144">
        <v>120</v>
      </c>
      <c r="G229" s="134">
        <f>958338.06+84400</f>
        <v>1042738.06</v>
      </c>
      <c r="H229" s="134">
        <v>958338.06</v>
      </c>
      <c r="I229" s="29">
        <v>958338.06</v>
      </c>
      <c r="M229" s="256"/>
      <c r="N229" s="256"/>
      <c r="O229" s="256"/>
      <c r="P229" s="330"/>
      <c r="AE229" s="54"/>
      <c r="AF229" s="54"/>
    </row>
    <row r="230" spans="1:32">
      <c r="A230" s="144">
        <v>214</v>
      </c>
      <c r="B230" s="143" t="s">
        <v>20</v>
      </c>
      <c r="C230" s="34" t="s">
        <v>153</v>
      </c>
      <c r="D230" s="34" t="s">
        <v>104</v>
      </c>
      <c r="E230" s="34" t="s">
        <v>487</v>
      </c>
      <c r="F230" s="144">
        <v>200</v>
      </c>
      <c r="G230" s="134">
        <f t="shared" ref="G230:I230" si="117">G231</f>
        <v>104361.94</v>
      </c>
      <c r="H230" s="134">
        <f t="shared" si="117"/>
        <v>104361.94</v>
      </c>
      <c r="I230" s="29">
        <f t="shared" si="117"/>
        <v>104361.94</v>
      </c>
      <c r="M230" s="256"/>
      <c r="N230" s="256"/>
      <c r="O230" s="256"/>
      <c r="P230" s="330"/>
      <c r="AE230" s="54"/>
      <c r="AF230" s="54"/>
    </row>
    <row r="231" spans="1:32">
      <c r="A231" s="144">
        <v>215</v>
      </c>
      <c r="B231" s="143" t="s">
        <v>21</v>
      </c>
      <c r="C231" s="34" t="s">
        <v>153</v>
      </c>
      <c r="D231" s="34" t="s">
        <v>104</v>
      </c>
      <c r="E231" s="34" t="s">
        <v>487</v>
      </c>
      <c r="F231" s="144">
        <v>240</v>
      </c>
      <c r="G231" s="134">
        <v>104361.94</v>
      </c>
      <c r="H231" s="134">
        <v>104361.94</v>
      </c>
      <c r="I231" s="157">
        <v>104361.94</v>
      </c>
      <c r="M231" s="256"/>
      <c r="N231" s="256"/>
      <c r="O231" s="256"/>
      <c r="P231" s="330"/>
      <c r="AE231" s="54"/>
      <c r="AF231" s="54"/>
    </row>
    <row r="232" spans="1:32">
      <c r="A232" s="144">
        <v>216</v>
      </c>
      <c r="B232" s="297" t="s">
        <v>40</v>
      </c>
      <c r="C232" s="34" t="s">
        <v>153</v>
      </c>
      <c r="D232" s="34" t="s">
        <v>105</v>
      </c>
      <c r="E232" s="34"/>
      <c r="F232" s="144"/>
      <c r="G232" s="134">
        <f t="shared" ref="G232:I233" si="118">G233</f>
        <v>30472143.210000001</v>
      </c>
      <c r="H232" s="134">
        <f t="shared" si="118"/>
        <v>31124225.43</v>
      </c>
      <c r="I232" s="29">
        <f t="shared" si="118"/>
        <v>31124225.43</v>
      </c>
      <c r="M232" s="256"/>
      <c r="N232" s="256"/>
      <c r="O232" s="256"/>
      <c r="P232" s="330"/>
      <c r="AE232" s="54"/>
      <c r="AF232" s="54"/>
    </row>
    <row r="233" spans="1:32">
      <c r="A233" s="144">
        <v>217</v>
      </c>
      <c r="B233" s="302" t="s">
        <v>43</v>
      </c>
      <c r="C233" s="34" t="s">
        <v>153</v>
      </c>
      <c r="D233" s="34" t="s">
        <v>105</v>
      </c>
      <c r="E233" s="34">
        <v>1000000000</v>
      </c>
      <c r="F233" s="144"/>
      <c r="G233" s="134">
        <f t="shared" si="118"/>
        <v>30472143.210000001</v>
      </c>
      <c r="H233" s="134">
        <f t="shared" si="118"/>
        <v>31124225.43</v>
      </c>
      <c r="I233" s="29">
        <f t="shared" si="118"/>
        <v>31124225.43</v>
      </c>
      <c r="M233" s="256"/>
      <c r="N233" s="256"/>
      <c r="O233" s="256"/>
      <c r="P233" s="330"/>
      <c r="AE233" s="54"/>
      <c r="AF233" s="54"/>
    </row>
    <row r="234" spans="1:32">
      <c r="A234" s="144">
        <v>218</v>
      </c>
      <c r="B234" s="302" t="s">
        <v>312</v>
      </c>
      <c r="C234" s="34" t="s">
        <v>153</v>
      </c>
      <c r="D234" s="34" t="s">
        <v>105</v>
      </c>
      <c r="E234" s="34">
        <v>1010000000</v>
      </c>
      <c r="F234" s="144"/>
      <c r="G234" s="134">
        <f>G235+G240</f>
        <v>30472143.210000001</v>
      </c>
      <c r="H234" s="134">
        <f t="shared" ref="H234:I234" si="119">H235+H240</f>
        <v>31124225.43</v>
      </c>
      <c r="I234" s="29">
        <f t="shared" si="119"/>
        <v>31124225.43</v>
      </c>
      <c r="M234" s="256"/>
      <c r="N234" s="256"/>
      <c r="O234" s="256"/>
      <c r="P234" s="330"/>
      <c r="AE234" s="54"/>
      <c r="AF234" s="54"/>
    </row>
    <row r="235" spans="1:32" ht="75">
      <c r="A235" s="144">
        <v>219</v>
      </c>
      <c r="B235" s="298" t="s">
        <v>44</v>
      </c>
      <c r="C235" s="34" t="s">
        <v>153</v>
      </c>
      <c r="D235" s="34" t="s">
        <v>105</v>
      </c>
      <c r="E235" s="34">
        <v>1010023580</v>
      </c>
      <c r="F235" s="144"/>
      <c r="G235" s="134">
        <f>G236+G238</f>
        <v>24444143.210000001</v>
      </c>
      <c r="H235" s="134">
        <f t="shared" ref="H235:I235" si="120">H236+H238</f>
        <v>25096225.43</v>
      </c>
      <c r="I235" s="29">
        <f t="shared" si="120"/>
        <v>25096225.43</v>
      </c>
      <c r="M235" s="256"/>
      <c r="N235" s="256"/>
      <c r="O235" s="256"/>
      <c r="P235" s="330"/>
      <c r="AE235" s="54"/>
      <c r="AF235" s="54"/>
    </row>
    <row r="236" spans="1:32">
      <c r="A236" s="144">
        <v>220</v>
      </c>
      <c r="B236" s="143" t="s">
        <v>32</v>
      </c>
      <c r="C236" s="34" t="s">
        <v>153</v>
      </c>
      <c r="D236" s="34" t="s">
        <v>105</v>
      </c>
      <c r="E236" s="34">
        <v>1010023580</v>
      </c>
      <c r="F236" s="144">
        <v>800</v>
      </c>
      <c r="G236" s="134">
        <f t="shared" ref="G236:I236" si="121">G237</f>
        <v>24444127.780000001</v>
      </c>
      <c r="H236" s="134">
        <f t="shared" si="121"/>
        <v>25096210</v>
      </c>
      <c r="I236" s="29">
        <f t="shared" si="121"/>
        <v>25096210</v>
      </c>
      <c r="M236" s="256"/>
      <c r="N236" s="256"/>
      <c r="O236" s="256"/>
      <c r="P236" s="330"/>
      <c r="AE236" s="54"/>
      <c r="AF236" s="54"/>
    </row>
    <row r="237" spans="1:32" ht="30">
      <c r="A237" s="144">
        <v>221</v>
      </c>
      <c r="B237" s="143" t="s">
        <v>45</v>
      </c>
      <c r="C237" s="34" t="s">
        <v>153</v>
      </c>
      <c r="D237" s="34" t="s">
        <v>105</v>
      </c>
      <c r="E237" s="34">
        <v>1010023580</v>
      </c>
      <c r="F237" s="144">
        <v>810</v>
      </c>
      <c r="G237" s="336">
        <f>25096210-652082.22</f>
        <v>24444127.780000001</v>
      </c>
      <c r="H237" s="336">
        <v>25096210</v>
      </c>
      <c r="I237" s="157">
        <v>25096210</v>
      </c>
      <c r="J237" s="335">
        <v>-652082.22</v>
      </c>
      <c r="M237" s="256"/>
      <c r="N237" s="256"/>
      <c r="O237" s="256"/>
      <c r="P237" s="330"/>
      <c r="AE237" s="54"/>
      <c r="AF237" s="54"/>
    </row>
    <row r="238" spans="1:32">
      <c r="A238" s="144">
        <v>222</v>
      </c>
      <c r="B238" s="143" t="s">
        <v>20</v>
      </c>
      <c r="C238" s="34" t="s">
        <v>153</v>
      </c>
      <c r="D238" s="34" t="s">
        <v>105</v>
      </c>
      <c r="E238" s="34">
        <v>1010023580</v>
      </c>
      <c r="F238" s="144">
        <v>200</v>
      </c>
      <c r="G238" s="134">
        <f>G239</f>
        <v>15.43</v>
      </c>
      <c r="H238" s="134">
        <f t="shared" ref="H238:I238" si="122">H239</f>
        <v>15.43</v>
      </c>
      <c r="I238" s="29">
        <f t="shared" si="122"/>
        <v>15.43</v>
      </c>
      <c r="M238" s="256"/>
      <c r="N238" s="256"/>
      <c r="O238" s="256"/>
      <c r="P238" s="330"/>
      <c r="AE238" s="54"/>
      <c r="AF238" s="54"/>
    </row>
    <row r="239" spans="1:32">
      <c r="A239" s="144">
        <v>223</v>
      </c>
      <c r="B239" s="143" t="s">
        <v>21</v>
      </c>
      <c r="C239" s="34" t="s">
        <v>153</v>
      </c>
      <c r="D239" s="34" t="s">
        <v>105</v>
      </c>
      <c r="E239" s="34">
        <v>1010023580</v>
      </c>
      <c r="F239" s="144">
        <v>240</v>
      </c>
      <c r="G239" s="134">
        <v>15.43</v>
      </c>
      <c r="H239" s="134">
        <v>15.43</v>
      </c>
      <c r="I239" s="157">
        <v>15.43</v>
      </c>
      <c r="M239" s="256"/>
      <c r="N239" s="256"/>
      <c r="O239" s="256"/>
      <c r="P239" s="330"/>
      <c r="AE239" s="54"/>
      <c r="AF239" s="54"/>
    </row>
    <row r="240" spans="1:32" ht="72.75" customHeight="1">
      <c r="A240" s="144">
        <v>224</v>
      </c>
      <c r="B240" s="299" t="s">
        <v>267</v>
      </c>
      <c r="C240" s="34" t="s">
        <v>153</v>
      </c>
      <c r="D240" s="34" t="s">
        <v>105</v>
      </c>
      <c r="E240" s="34">
        <v>1010023590</v>
      </c>
      <c r="F240" s="144"/>
      <c r="G240" s="134">
        <f t="shared" ref="G240:I240" si="123">G241</f>
        <v>6028000</v>
      </c>
      <c r="H240" s="134">
        <f t="shared" si="123"/>
        <v>6028000</v>
      </c>
      <c r="I240" s="29">
        <f t="shared" si="123"/>
        <v>6028000</v>
      </c>
      <c r="M240" s="256"/>
      <c r="N240" s="256"/>
      <c r="O240" s="256"/>
      <c r="P240" s="330"/>
      <c r="AE240" s="54"/>
      <c r="AF240" s="54"/>
    </row>
    <row r="241" spans="1:32">
      <c r="A241" s="144">
        <v>225</v>
      </c>
      <c r="B241" s="143" t="s">
        <v>32</v>
      </c>
      <c r="C241" s="34" t="s">
        <v>153</v>
      </c>
      <c r="D241" s="34" t="s">
        <v>105</v>
      </c>
      <c r="E241" s="34">
        <v>1010023590</v>
      </c>
      <c r="F241" s="144">
        <v>800</v>
      </c>
      <c r="G241" s="134">
        <f>G242+G243</f>
        <v>6028000</v>
      </c>
      <c r="H241" s="134">
        <f t="shared" ref="H241:I241" si="124">H242+H243</f>
        <v>6028000</v>
      </c>
      <c r="I241" s="29">
        <f t="shared" si="124"/>
        <v>6028000</v>
      </c>
      <c r="M241" s="256"/>
      <c r="N241" s="256"/>
      <c r="O241" s="256"/>
      <c r="P241" s="330"/>
      <c r="AE241" s="54"/>
      <c r="AF241" s="54"/>
    </row>
    <row r="242" spans="1:32" ht="54.75" customHeight="1">
      <c r="A242" s="144">
        <v>226</v>
      </c>
      <c r="B242" s="143" t="s">
        <v>45</v>
      </c>
      <c r="C242" s="34" t="s">
        <v>153</v>
      </c>
      <c r="D242" s="34" t="s">
        <v>105</v>
      </c>
      <c r="E242" s="34">
        <v>1010023590</v>
      </c>
      <c r="F242" s="144">
        <v>810</v>
      </c>
      <c r="G242" s="134">
        <v>6027900</v>
      </c>
      <c r="H242" s="134">
        <v>6027900</v>
      </c>
      <c r="I242" s="29">
        <v>6027900</v>
      </c>
      <c r="M242" s="256"/>
      <c r="N242" s="256"/>
      <c r="O242" s="256"/>
      <c r="P242" s="330"/>
      <c r="AE242" s="54"/>
      <c r="AF242" s="54"/>
    </row>
    <row r="243" spans="1:32" ht="23.25" customHeight="1">
      <c r="A243" s="144">
        <v>227</v>
      </c>
      <c r="B243" s="143" t="s">
        <v>20</v>
      </c>
      <c r="C243" s="34" t="s">
        <v>153</v>
      </c>
      <c r="D243" s="34" t="s">
        <v>105</v>
      </c>
      <c r="E243" s="34">
        <v>1010023590</v>
      </c>
      <c r="F243" s="144">
        <v>200</v>
      </c>
      <c r="G243" s="134">
        <f>G244</f>
        <v>100</v>
      </c>
      <c r="H243" s="134">
        <f t="shared" ref="H243:I243" si="125">H244</f>
        <v>100</v>
      </c>
      <c r="I243" s="29">
        <f t="shared" si="125"/>
        <v>100</v>
      </c>
      <c r="M243" s="256"/>
      <c r="N243" s="256"/>
      <c r="O243" s="256"/>
      <c r="P243" s="330"/>
      <c r="AE243" s="54"/>
      <c r="AF243" s="54"/>
    </row>
    <row r="244" spans="1:32" ht="24.75" customHeight="1">
      <c r="A244" s="144">
        <v>228</v>
      </c>
      <c r="B244" s="143" t="s">
        <v>21</v>
      </c>
      <c r="C244" s="34" t="s">
        <v>153</v>
      </c>
      <c r="D244" s="34" t="s">
        <v>105</v>
      </c>
      <c r="E244" s="34">
        <v>1010023590</v>
      </c>
      <c r="F244" s="144">
        <v>240</v>
      </c>
      <c r="G244" s="134">
        <v>100</v>
      </c>
      <c r="H244" s="134">
        <v>100</v>
      </c>
      <c r="I244" s="29">
        <v>100</v>
      </c>
      <c r="M244" s="256"/>
      <c r="N244" s="256"/>
      <c r="O244" s="256"/>
      <c r="P244" s="330"/>
      <c r="AE244" s="54"/>
      <c r="AF244" s="54"/>
    </row>
    <row r="245" spans="1:32">
      <c r="A245" s="144">
        <v>229</v>
      </c>
      <c r="B245" s="297" t="s">
        <v>46</v>
      </c>
      <c r="C245" s="34" t="s">
        <v>153</v>
      </c>
      <c r="D245" s="34" t="s">
        <v>107</v>
      </c>
      <c r="E245" s="34"/>
      <c r="F245" s="144"/>
      <c r="G245" s="134">
        <f t="shared" ref="G245:I245" si="126">G246</f>
        <v>1817813.83</v>
      </c>
      <c r="H245" s="134">
        <f t="shared" si="126"/>
        <v>1029200</v>
      </c>
      <c r="I245" s="29">
        <f t="shared" si="126"/>
        <v>1039700</v>
      </c>
      <c r="M245" s="256"/>
      <c r="N245" s="256"/>
      <c r="O245" s="256"/>
      <c r="P245" s="330"/>
      <c r="AE245" s="54"/>
      <c r="AF245" s="54"/>
    </row>
    <row r="246" spans="1:32">
      <c r="A246" s="144">
        <v>230</v>
      </c>
      <c r="B246" s="302" t="s">
        <v>43</v>
      </c>
      <c r="C246" s="34" t="s">
        <v>153</v>
      </c>
      <c r="D246" s="34" t="s">
        <v>107</v>
      </c>
      <c r="E246" s="34">
        <v>1000000000</v>
      </c>
      <c r="F246" s="144"/>
      <c r="G246" s="134">
        <f>G248</f>
        <v>1817813.83</v>
      </c>
      <c r="H246" s="134">
        <f t="shared" ref="H246:I246" si="127">H248</f>
        <v>1029200</v>
      </c>
      <c r="I246" s="29">
        <f t="shared" si="127"/>
        <v>1039700</v>
      </c>
      <c r="M246" s="256"/>
      <c r="N246" s="256"/>
      <c r="O246" s="256"/>
      <c r="P246" s="330"/>
      <c r="AE246" s="54"/>
      <c r="AF246" s="54"/>
    </row>
    <row r="247" spans="1:32" s="54" customFormat="1">
      <c r="A247" s="144">
        <v>231</v>
      </c>
      <c r="B247" s="299" t="s">
        <v>254</v>
      </c>
      <c r="C247" s="34" t="s">
        <v>153</v>
      </c>
      <c r="D247" s="34" t="s">
        <v>107</v>
      </c>
      <c r="E247" s="34">
        <v>1040000000</v>
      </c>
      <c r="F247" s="144"/>
      <c r="G247" s="134">
        <f>G248</f>
        <v>1817813.83</v>
      </c>
      <c r="H247" s="134">
        <f t="shared" ref="H247:I247" si="128">H248</f>
        <v>1029200</v>
      </c>
      <c r="I247" s="29">
        <f t="shared" si="128"/>
        <v>1039700</v>
      </c>
      <c r="M247" s="256"/>
      <c r="N247" s="256"/>
      <c r="O247" s="256"/>
      <c r="P247" s="330"/>
    </row>
    <row r="248" spans="1:32" s="54" customFormat="1" ht="45">
      <c r="A248" s="144">
        <v>232</v>
      </c>
      <c r="B248" s="299" t="s">
        <v>459</v>
      </c>
      <c r="C248" s="34" t="s">
        <v>153</v>
      </c>
      <c r="D248" s="34" t="s">
        <v>107</v>
      </c>
      <c r="E248" s="34">
        <v>1040082240</v>
      </c>
      <c r="F248" s="144"/>
      <c r="G248" s="134">
        <f t="shared" ref="G248:I249" si="129">G249</f>
        <v>1817813.83</v>
      </c>
      <c r="H248" s="134">
        <f t="shared" si="129"/>
        <v>1029200</v>
      </c>
      <c r="I248" s="29">
        <f t="shared" si="129"/>
        <v>1039700</v>
      </c>
      <c r="M248" s="256"/>
      <c r="N248" s="256"/>
      <c r="O248" s="256"/>
      <c r="P248" s="330"/>
    </row>
    <row r="249" spans="1:32" s="54" customFormat="1">
      <c r="A249" s="144">
        <v>233</v>
      </c>
      <c r="B249" s="143" t="s">
        <v>20</v>
      </c>
      <c r="C249" s="34" t="s">
        <v>153</v>
      </c>
      <c r="D249" s="34" t="s">
        <v>107</v>
      </c>
      <c r="E249" s="34">
        <v>1040082240</v>
      </c>
      <c r="F249" s="144">
        <v>200</v>
      </c>
      <c r="G249" s="134">
        <f t="shared" si="129"/>
        <v>1817813.83</v>
      </c>
      <c r="H249" s="134">
        <f t="shared" si="129"/>
        <v>1029200</v>
      </c>
      <c r="I249" s="29">
        <f t="shared" si="129"/>
        <v>1039700</v>
      </c>
      <c r="M249" s="256"/>
      <c r="N249" s="256"/>
      <c r="O249" s="256"/>
      <c r="P249" s="330"/>
    </row>
    <row r="250" spans="1:32" s="54" customFormat="1">
      <c r="A250" s="144">
        <v>234</v>
      </c>
      <c r="B250" s="143" t="s">
        <v>21</v>
      </c>
      <c r="C250" s="34" t="s">
        <v>153</v>
      </c>
      <c r="D250" s="34" t="s">
        <v>107</v>
      </c>
      <c r="E250" s="34">
        <v>1040082240</v>
      </c>
      <c r="F250" s="144">
        <v>240</v>
      </c>
      <c r="G250" s="134">
        <f>1072400+596537.04+148876.79</f>
        <v>1817813.83</v>
      </c>
      <c r="H250" s="134">
        <v>1029200</v>
      </c>
      <c r="I250" s="157">
        <v>1039700</v>
      </c>
      <c r="J250" s="332"/>
      <c r="M250" s="256"/>
      <c r="N250" s="256"/>
      <c r="O250" s="256"/>
      <c r="P250" s="330"/>
    </row>
    <row r="251" spans="1:32">
      <c r="A251" s="144">
        <v>235</v>
      </c>
      <c r="B251" s="297" t="s">
        <v>47</v>
      </c>
      <c r="C251" s="34" t="s">
        <v>153</v>
      </c>
      <c r="D251" s="34" t="s">
        <v>108</v>
      </c>
      <c r="E251" s="34"/>
      <c r="F251" s="144"/>
      <c r="G251" s="134">
        <f>G252+G260</f>
        <v>4255640</v>
      </c>
      <c r="H251" s="134">
        <f t="shared" ref="H251:I251" si="130">H252+H260</f>
        <v>798800</v>
      </c>
      <c r="I251" s="29">
        <f t="shared" si="130"/>
        <v>798800</v>
      </c>
      <c r="M251" s="256"/>
      <c r="N251" s="256"/>
      <c r="O251" s="256"/>
      <c r="P251" s="330"/>
      <c r="AE251" s="54"/>
      <c r="AF251" s="54"/>
    </row>
    <row r="252" spans="1:32" ht="30">
      <c r="A252" s="144">
        <v>236</v>
      </c>
      <c r="B252" s="300" t="s">
        <v>376</v>
      </c>
      <c r="C252" s="34" t="s">
        <v>153</v>
      </c>
      <c r="D252" s="34" t="s">
        <v>108</v>
      </c>
      <c r="E252" s="34" t="s">
        <v>180</v>
      </c>
      <c r="F252" s="144"/>
      <c r="G252" s="134">
        <f t="shared" ref="G252:I255" si="131">G253</f>
        <v>1368800</v>
      </c>
      <c r="H252" s="134">
        <f t="shared" si="131"/>
        <v>798800</v>
      </c>
      <c r="I252" s="29">
        <f t="shared" si="131"/>
        <v>798800</v>
      </c>
      <c r="M252" s="256"/>
      <c r="N252" s="256"/>
      <c r="O252" s="256"/>
      <c r="P252" s="330"/>
      <c r="AE252" s="54"/>
      <c r="AF252" s="54"/>
    </row>
    <row r="253" spans="1:32" ht="30">
      <c r="A253" s="144">
        <v>237</v>
      </c>
      <c r="B253" s="307" t="s">
        <v>484</v>
      </c>
      <c r="C253" s="34" t="s">
        <v>153</v>
      </c>
      <c r="D253" s="34" t="s">
        <v>108</v>
      </c>
      <c r="E253" s="34" t="s">
        <v>381</v>
      </c>
      <c r="F253" s="144"/>
      <c r="G253" s="134">
        <f>G254+G257</f>
        <v>1368800</v>
      </c>
      <c r="H253" s="134">
        <f t="shared" ref="H253:I253" si="132">H254+H257</f>
        <v>798800</v>
      </c>
      <c r="I253" s="29">
        <f t="shared" si="132"/>
        <v>798800</v>
      </c>
      <c r="M253" s="256"/>
      <c r="N253" s="256"/>
      <c r="O253" s="256"/>
      <c r="P253" s="330"/>
      <c r="AE253" s="54"/>
      <c r="AF253" s="54"/>
    </row>
    <row r="254" spans="1:32">
      <c r="A254" s="144">
        <v>238</v>
      </c>
      <c r="B254" s="298" t="s">
        <v>48</v>
      </c>
      <c r="C254" s="34" t="s">
        <v>153</v>
      </c>
      <c r="D254" s="34" t="s">
        <v>108</v>
      </c>
      <c r="E254" s="34" t="s">
        <v>384</v>
      </c>
      <c r="F254" s="144"/>
      <c r="G254" s="134">
        <f t="shared" si="131"/>
        <v>768800</v>
      </c>
      <c r="H254" s="134">
        <f t="shared" si="131"/>
        <v>768800</v>
      </c>
      <c r="I254" s="29">
        <f t="shared" si="131"/>
        <v>768800</v>
      </c>
      <c r="M254" s="256"/>
      <c r="N254" s="256"/>
      <c r="O254" s="256"/>
      <c r="P254" s="330"/>
      <c r="AE254" s="54"/>
      <c r="AF254" s="54"/>
    </row>
    <row r="255" spans="1:32">
      <c r="A255" s="144">
        <v>239</v>
      </c>
      <c r="B255" s="143" t="s">
        <v>32</v>
      </c>
      <c r="C255" s="34" t="s">
        <v>153</v>
      </c>
      <c r="D255" s="34" t="s">
        <v>108</v>
      </c>
      <c r="E255" s="34" t="s">
        <v>384</v>
      </c>
      <c r="F255" s="144">
        <v>800</v>
      </c>
      <c r="G255" s="134">
        <f t="shared" si="131"/>
        <v>768800</v>
      </c>
      <c r="H255" s="134">
        <f t="shared" si="131"/>
        <v>768800</v>
      </c>
      <c r="I255" s="29">
        <f t="shared" si="131"/>
        <v>768800</v>
      </c>
      <c r="M255" s="256"/>
      <c r="N255" s="256"/>
      <c r="O255" s="256"/>
      <c r="P255" s="330"/>
      <c r="AE255" s="54"/>
      <c r="AF255" s="54"/>
    </row>
    <row r="256" spans="1:32" ht="30">
      <c r="A256" s="144">
        <v>240</v>
      </c>
      <c r="B256" s="143" t="s">
        <v>45</v>
      </c>
      <c r="C256" s="34" t="s">
        <v>153</v>
      </c>
      <c r="D256" s="34" t="s">
        <v>108</v>
      </c>
      <c r="E256" s="34" t="s">
        <v>384</v>
      </c>
      <c r="F256" s="144">
        <v>810</v>
      </c>
      <c r="G256" s="134">
        <f>618800+150000</f>
        <v>768800</v>
      </c>
      <c r="H256" s="134">
        <f>618800+150000</f>
        <v>768800</v>
      </c>
      <c r="I256" s="157">
        <f>618800+150000</f>
        <v>768800</v>
      </c>
      <c r="M256" s="256"/>
      <c r="N256" s="256"/>
      <c r="O256" s="256"/>
      <c r="P256" s="330"/>
      <c r="AE256" s="54"/>
      <c r="AF256" s="54"/>
    </row>
    <row r="257" spans="1:32" ht="45">
      <c r="A257" s="144">
        <v>241</v>
      </c>
      <c r="B257" s="299" t="s">
        <v>473</v>
      </c>
      <c r="C257" s="34" t="s">
        <v>153</v>
      </c>
      <c r="D257" s="34" t="s">
        <v>108</v>
      </c>
      <c r="E257" s="34" t="s">
        <v>469</v>
      </c>
      <c r="F257" s="144"/>
      <c r="G257" s="134">
        <f>G258</f>
        <v>600000</v>
      </c>
      <c r="H257" s="134">
        <f t="shared" ref="H257:I258" si="133">H258</f>
        <v>30000</v>
      </c>
      <c r="I257" s="29">
        <f t="shared" si="133"/>
        <v>30000</v>
      </c>
      <c r="M257" s="256"/>
      <c r="N257" s="256"/>
      <c r="O257" s="256"/>
      <c r="P257" s="330"/>
      <c r="AE257" s="54"/>
      <c r="AF257" s="54"/>
    </row>
    <row r="258" spans="1:32">
      <c r="A258" s="144">
        <v>242</v>
      </c>
      <c r="B258" s="143" t="s">
        <v>32</v>
      </c>
      <c r="C258" s="34" t="s">
        <v>153</v>
      </c>
      <c r="D258" s="34" t="s">
        <v>108</v>
      </c>
      <c r="E258" s="34" t="s">
        <v>469</v>
      </c>
      <c r="F258" s="144">
        <v>800</v>
      </c>
      <c r="G258" s="134">
        <f>G259</f>
        <v>600000</v>
      </c>
      <c r="H258" s="134">
        <f t="shared" si="133"/>
        <v>30000</v>
      </c>
      <c r="I258" s="29">
        <f t="shared" si="133"/>
        <v>30000</v>
      </c>
      <c r="M258" s="256"/>
      <c r="N258" s="256"/>
      <c r="O258" s="256"/>
      <c r="P258" s="330"/>
      <c r="AE258" s="54"/>
      <c r="AF258" s="54"/>
    </row>
    <row r="259" spans="1:32" ht="30">
      <c r="A259" s="144">
        <v>243</v>
      </c>
      <c r="B259" s="143" t="s">
        <v>45</v>
      </c>
      <c r="C259" s="34" t="s">
        <v>153</v>
      </c>
      <c r="D259" s="34" t="s">
        <v>108</v>
      </c>
      <c r="E259" s="34" t="s">
        <v>469</v>
      </c>
      <c r="F259" s="144">
        <v>810</v>
      </c>
      <c r="G259" s="134">
        <f>30000+570000</f>
        <v>600000</v>
      </c>
      <c r="H259" s="134">
        <v>30000</v>
      </c>
      <c r="I259" s="157">
        <v>30000</v>
      </c>
      <c r="J259" s="254"/>
      <c r="M259" s="256"/>
      <c r="N259" s="256"/>
      <c r="O259" s="256"/>
      <c r="P259" s="330"/>
      <c r="AE259" s="54"/>
      <c r="AF259" s="54"/>
    </row>
    <row r="260" spans="1:32" ht="30">
      <c r="A260" s="144">
        <v>244</v>
      </c>
      <c r="B260" s="302" t="s">
        <v>57</v>
      </c>
      <c r="C260" s="34" t="s">
        <v>153</v>
      </c>
      <c r="D260" s="34" t="s">
        <v>108</v>
      </c>
      <c r="E260" s="34" t="s">
        <v>470</v>
      </c>
      <c r="F260" s="144"/>
      <c r="G260" s="134">
        <f>G261</f>
        <v>2886840</v>
      </c>
      <c r="H260" s="134">
        <f t="shared" ref="H260:I263" si="134">H261</f>
        <v>0</v>
      </c>
      <c r="I260" s="29">
        <f t="shared" si="134"/>
        <v>0</v>
      </c>
      <c r="M260" s="256"/>
      <c r="N260" s="256"/>
      <c r="O260" s="256"/>
      <c r="P260" s="330"/>
      <c r="AE260" s="54"/>
      <c r="AF260" s="54"/>
    </row>
    <row r="261" spans="1:32" ht="30">
      <c r="A261" s="144">
        <v>245</v>
      </c>
      <c r="B261" s="143" t="s">
        <v>143</v>
      </c>
      <c r="C261" s="34" t="s">
        <v>153</v>
      </c>
      <c r="D261" s="34" t="s">
        <v>108</v>
      </c>
      <c r="E261" s="34" t="s">
        <v>497</v>
      </c>
      <c r="F261" s="144"/>
      <c r="G261" s="134">
        <f>G262+G265</f>
        <v>2886840</v>
      </c>
      <c r="H261" s="134">
        <f t="shared" si="134"/>
        <v>0</v>
      </c>
      <c r="I261" s="29">
        <f t="shared" si="134"/>
        <v>0</v>
      </c>
      <c r="M261" s="256"/>
      <c r="N261" s="256"/>
      <c r="O261" s="256"/>
      <c r="P261" s="330"/>
      <c r="AE261" s="54"/>
      <c r="AF261" s="54"/>
    </row>
    <row r="262" spans="1:32" ht="30">
      <c r="A262" s="144">
        <v>246</v>
      </c>
      <c r="B262" s="143" t="s">
        <v>525</v>
      </c>
      <c r="C262" s="34" t="s">
        <v>153</v>
      </c>
      <c r="D262" s="34" t="s">
        <v>108</v>
      </c>
      <c r="E262" s="34" t="s">
        <v>498</v>
      </c>
      <c r="F262" s="144"/>
      <c r="G262" s="134">
        <f>G263</f>
        <v>2786840</v>
      </c>
      <c r="H262" s="134">
        <f t="shared" si="134"/>
        <v>0</v>
      </c>
      <c r="I262" s="29">
        <f t="shared" si="134"/>
        <v>0</v>
      </c>
      <c r="M262" s="256"/>
      <c r="N262" s="256"/>
      <c r="O262" s="256"/>
      <c r="P262" s="330"/>
      <c r="AE262" s="54"/>
      <c r="AF262" s="54"/>
    </row>
    <row r="263" spans="1:32">
      <c r="A263" s="144">
        <v>247</v>
      </c>
      <c r="B263" s="143" t="s">
        <v>20</v>
      </c>
      <c r="C263" s="34" t="s">
        <v>153</v>
      </c>
      <c r="D263" s="34" t="s">
        <v>108</v>
      </c>
      <c r="E263" s="34" t="s">
        <v>498</v>
      </c>
      <c r="F263" s="144">
        <v>200</v>
      </c>
      <c r="G263" s="134">
        <f>G264</f>
        <v>2786840</v>
      </c>
      <c r="H263" s="134">
        <f t="shared" si="134"/>
        <v>0</v>
      </c>
      <c r="I263" s="29">
        <f t="shared" si="134"/>
        <v>0</v>
      </c>
      <c r="J263" s="338">
        <v>-1261250</v>
      </c>
      <c r="M263" s="256"/>
      <c r="N263" s="256"/>
      <c r="O263" s="256"/>
      <c r="P263" s="330"/>
      <c r="AE263" s="54"/>
      <c r="AF263" s="54"/>
    </row>
    <row r="264" spans="1:32">
      <c r="A264" s="144">
        <v>248</v>
      </c>
      <c r="B264" s="143" t="s">
        <v>21</v>
      </c>
      <c r="C264" s="34" t="s">
        <v>153</v>
      </c>
      <c r="D264" s="34" t="s">
        <v>108</v>
      </c>
      <c r="E264" s="34" t="s">
        <v>498</v>
      </c>
      <c r="F264" s="144">
        <v>240</v>
      </c>
      <c r="G264" s="134">
        <f>1261250-1261250+2786840</f>
        <v>2786840</v>
      </c>
      <c r="H264" s="134">
        <v>0</v>
      </c>
      <c r="I264" s="157">
        <v>0</v>
      </c>
      <c r="J264" s="338">
        <v>2786840</v>
      </c>
      <c r="M264" s="256"/>
      <c r="N264" s="256"/>
      <c r="O264" s="256"/>
      <c r="P264" s="330"/>
      <c r="AE264" s="54"/>
      <c r="AF264" s="54"/>
    </row>
    <row r="265" spans="1:32" ht="84" customHeight="1">
      <c r="A265" s="144">
        <v>249</v>
      </c>
      <c r="B265" s="327" t="s">
        <v>604</v>
      </c>
      <c r="C265" s="34" t="s">
        <v>153</v>
      </c>
      <c r="D265" s="34" t="s">
        <v>108</v>
      </c>
      <c r="E265" s="34" t="s">
        <v>605</v>
      </c>
      <c r="F265" s="144"/>
      <c r="G265" s="134">
        <f>G266</f>
        <v>100000</v>
      </c>
      <c r="H265" s="134">
        <f t="shared" ref="H265:I266" si="135">H266</f>
        <v>0</v>
      </c>
      <c r="I265" s="29">
        <f t="shared" si="135"/>
        <v>0</v>
      </c>
      <c r="M265" s="256"/>
      <c r="N265" s="256"/>
      <c r="O265" s="256"/>
      <c r="P265" s="330"/>
      <c r="AE265" s="54"/>
      <c r="AF265" s="54"/>
    </row>
    <row r="266" spans="1:32">
      <c r="A266" s="144">
        <v>250</v>
      </c>
      <c r="B266" s="143" t="s">
        <v>537</v>
      </c>
      <c r="C266" s="34" t="s">
        <v>153</v>
      </c>
      <c r="D266" s="34" t="s">
        <v>108</v>
      </c>
      <c r="E266" s="34" t="s">
        <v>605</v>
      </c>
      <c r="F266" s="144">
        <v>200</v>
      </c>
      <c r="G266" s="134">
        <f>G267</f>
        <v>100000</v>
      </c>
      <c r="H266" s="134">
        <f t="shared" si="135"/>
        <v>0</v>
      </c>
      <c r="I266" s="29">
        <f t="shared" si="135"/>
        <v>0</v>
      </c>
      <c r="M266" s="256"/>
      <c r="N266" s="256"/>
      <c r="O266" s="256"/>
      <c r="P266" s="330"/>
      <c r="AE266" s="54"/>
      <c r="AF266" s="54"/>
    </row>
    <row r="267" spans="1:32">
      <c r="A267" s="144">
        <v>251</v>
      </c>
      <c r="B267" s="143" t="s">
        <v>538</v>
      </c>
      <c r="C267" s="34" t="s">
        <v>153</v>
      </c>
      <c r="D267" s="34" t="s">
        <v>108</v>
      </c>
      <c r="E267" s="34" t="s">
        <v>605</v>
      </c>
      <c r="F267" s="144">
        <v>240</v>
      </c>
      <c r="G267" s="134">
        <f>100000</f>
        <v>100000</v>
      </c>
      <c r="H267" s="134">
        <v>0</v>
      </c>
      <c r="I267" s="157">
        <v>0</v>
      </c>
      <c r="J267" s="254"/>
      <c r="M267" s="256"/>
      <c r="N267" s="256"/>
      <c r="O267" s="256"/>
      <c r="P267" s="330"/>
      <c r="AE267" s="54"/>
      <c r="AF267" s="54"/>
    </row>
    <row r="268" spans="1:32">
      <c r="A268" s="144">
        <v>252</v>
      </c>
      <c r="B268" s="297" t="s">
        <v>109</v>
      </c>
      <c r="C268" s="34" t="s">
        <v>153</v>
      </c>
      <c r="D268" s="34" t="s">
        <v>110</v>
      </c>
      <c r="E268" s="34"/>
      <c r="F268" s="144"/>
      <c r="G268" s="134">
        <f>G277+G269</f>
        <v>76941200</v>
      </c>
      <c r="H268" s="134">
        <f t="shared" ref="H268:I268" si="136">H277+H269</f>
        <v>72850300</v>
      </c>
      <c r="I268" s="29">
        <f t="shared" si="136"/>
        <v>72850300</v>
      </c>
      <c r="M268" s="256"/>
      <c r="N268" s="256"/>
      <c r="O268" s="256"/>
      <c r="P268" s="330"/>
      <c r="AE268" s="54"/>
      <c r="AF268" s="54"/>
    </row>
    <row r="269" spans="1:32">
      <c r="A269" s="144">
        <v>253</v>
      </c>
      <c r="B269" s="297" t="s">
        <v>371</v>
      </c>
      <c r="C269" s="34" t="s">
        <v>153</v>
      </c>
      <c r="D269" s="34" t="s">
        <v>372</v>
      </c>
      <c r="E269" s="34"/>
      <c r="F269" s="144"/>
      <c r="G269" s="134">
        <f t="shared" ref="G269:I273" si="137">G270</f>
        <v>190300</v>
      </c>
      <c r="H269" s="134">
        <f t="shared" si="137"/>
        <v>190300</v>
      </c>
      <c r="I269" s="29">
        <f t="shared" si="137"/>
        <v>190300</v>
      </c>
      <c r="M269" s="256"/>
      <c r="N269" s="256"/>
      <c r="O269" s="256"/>
      <c r="P269" s="330"/>
      <c r="AE269" s="54"/>
      <c r="AF269" s="54"/>
    </row>
    <row r="270" spans="1:32" ht="30">
      <c r="A270" s="144">
        <v>254</v>
      </c>
      <c r="B270" s="302" t="s">
        <v>57</v>
      </c>
      <c r="C270" s="34" t="s">
        <v>153</v>
      </c>
      <c r="D270" s="34" t="s">
        <v>372</v>
      </c>
      <c r="E270" s="34">
        <v>1100000000</v>
      </c>
      <c r="F270" s="144"/>
      <c r="G270" s="134">
        <f t="shared" si="137"/>
        <v>190300</v>
      </c>
      <c r="H270" s="134">
        <f t="shared" si="137"/>
        <v>190300</v>
      </c>
      <c r="I270" s="29">
        <f t="shared" si="137"/>
        <v>190300</v>
      </c>
      <c r="M270" s="256"/>
      <c r="N270" s="256"/>
      <c r="O270" s="256"/>
      <c r="P270" s="330"/>
      <c r="AE270" s="54"/>
      <c r="AF270" s="54"/>
    </row>
    <row r="271" spans="1:32" ht="45">
      <c r="A271" s="144">
        <v>255</v>
      </c>
      <c r="B271" s="298" t="s">
        <v>483</v>
      </c>
      <c r="C271" s="34" t="s">
        <v>153</v>
      </c>
      <c r="D271" s="34" t="s">
        <v>372</v>
      </c>
      <c r="E271" s="34">
        <v>1140000000</v>
      </c>
      <c r="F271" s="144"/>
      <c r="G271" s="134">
        <f>G272</f>
        <v>190300</v>
      </c>
      <c r="H271" s="134">
        <f t="shared" si="137"/>
        <v>190300</v>
      </c>
      <c r="I271" s="29">
        <f t="shared" si="137"/>
        <v>190300</v>
      </c>
      <c r="M271" s="256"/>
      <c r="N271" s="256"/>
      <c r="O271" s="256"/>
      <c r="P271" s="330"/>
      <c r="AE271" s="54"/>
      <c r="AF271" s="54"/>
    </row>
    <row r="272" spans="1:32">
      <c r="A272" s="144">
        <v>256</v>
      </c>
      <c r="B272" s="298" t="s">
        <v>386</v>
      </c>
      <c r="C272" s="34" t="s">
        <v>153</v>
      </c>
      <c r="D272" s="34" t="s">
        <v>372</v>
      </c>
      <c r="E272" s="34">
        <v>1140092030</v>
      </c>
      <c r="F272" s="144"/>
      <c r="G272" s="134">
        <f>G273+G275</f>
        <v>190300</v>
      </c>
      <c r="H272" s="134">
        <f t="shared" ref="H272:I272" si="138">H273+H275</f>
        <v>190300</v>
      </c>
      <c r="I272" s="29">
        <f t="shared" si="138"/>
        <v>190300</v>
      </c>
      <c r="M272" s="256"/>
      <c r="N272" s="256"/>
      <c r="O272" s="256"/>
      <c r="P272" s="330"/>
      <c r="AE272" s="54"/>
      <c r="AF272" s="54"/>
    </row>
    <row r="273" spans="1:32">
      <c r="A273" s="144">
        <v>257</v>
      </c>
      <c r="B273" s="143" t="s">
        <v>20</v>
      </c>
      <c r="C273" s="34" t="s">
        <v>153</v>
      </c>
      <c r="D273" s="34" t="s">
        <v>372</v>
      </c>
      <c r="E273" s="34">
        <v>1140092030</v>
      </c>
      <c r="F273" s="144">
        <v>200</v>
      </c>
      <c r="G273" s="134">
        <f t="shared" si="137"/>
        <v>189300</v>
      </c>
      <c r="H273" s="134">
        <f t="shared" si="137"/>
        <v>179840</v>
      </c>
      <c r="I273" s="29">
        <f t="shared" si="137"/>
        <v>179840</v>
      </c>
      <c r="M273" s="256"/>
      <c r="N273" s="256"/>
      <c r="O273" s="256"/>
      <c r="P273" s="330"/>
      <c r="AE273" s="54"/>
      <c r="AF273" s="54"/>
    </row>
    <row r="274" spans="1:32">
      <c r="A274" s="144">
        <v>258</v>
      </c>
      <c r="B274" s="143" t="s">
        <v>21</v>
      </c>
      <c r="C274" s="34" t="s">
        <v>153</v>
      </c>
      <c r="D274" s="34" t="s">
        <v>372</v>
      </c>
      <c r="E274" s="34">
        <v>1140092030</v>
      </c>
      <c r="F274" s="144">
        <v>240</v>
      </c>
      <c r="G274" s="134">
        <f>179840+9460</f>
        <v>189300</v>
      </c>
      <c r="H274" s="134">
        <v>179840</v>
      </c>
      <c r="I274" s="157">
        <v>179840</v>
      </c>
      <c r="J274" s="335">
        <v>9460</v>
      </c>
      <c r="M274" s="256"/>
      <c r="N274" s="256"/>
      <c r="O274" s="256"/>
      <c r="P274" s="330"/>
      <c r="AE274" s="54"/>
      <c r="AF274" s="54"/>
    </row>
    <row r="275" spans="1:32">
      <c r="A275" s="144">
        <v>259</v>
      </c>
      <c r="B275" s="143" t="s">
        <v>32</v>
      </c>
      <c r="C275" s="34" t="s">
        <v>153</v>
      </c>
      <c r="D275" s="34" t="s">
        <v>372</v>
      </c>
      <c r="E275" s="34">
        <v>1140092030</v>
      </c>
      <c r="F275" s="144">
        <v>800</v>
      </c>
      <c r="G275" s="134">
        <f>G276</f>
        <v>1000</v>
      </c>
      <c r="H275" s="134">
        <f t="shared" ref="H275:I275" si="139">H276</f>
        <v>10460</v>
      </c>
      <c r="I275" s="29">
        <f t="shared" si="139"/>
        <v>10460</v>
      </c>
      <c r="M275" s="256"/>
      <c r="N275" s="256"/>
      <c r="O275" s="256"/>
      <c r="P275" s="330"/>
      <c r="AE275" s="54"/>
      <c r="AF275" s="54"/>
    </row>
    <row r="276" spans="1:32">
      <c r="A276" s="144">
        <v>260</v>
      </c>
      <c r="B276" s="143" t="s">
        <v>80</v>
      </c>
      <c r="C276" s="34" t="s">
        <v>153</v>
      </c>
      <c r="D276" s="34" t="s">
        <v>372</v>
      </c>
      <c r="E276" s="34">
        <v>1140092030</v>
      </c>
      <c r="F276" s="144">
        <v>850</v>
      </c>
      <c r="G276" s="134">
        <f>10460-9460</f>
        <v>1000</v>
      </c>
      <c r="H276" s="134">
        <v>10460</v>
      </c>
      <c r="I276" s="157">
        <v>10460</v>
      </c>
      <c r="J276" s="335">
        <v>-9460</v>
      </c>
      <c r="M276" s="256"/>
      <c r="N276" s="256"/>
      <c r="O276" s="256"/>
      <c r="P276" s="330"/>
      <c r="AE276" s="54"/>
      <c r="AF276" s="54"/>
    </row>
    <row r="277" spans="1:32">
      <c r="A277" s="144">
        <v>261</v>
      </c>
      <c r="B277" s="298" t="s">
        <v>51</v>
      </c>
      <c r="C277" s="34" t="s">
        <v>153</v>
      </c>
      <c r="D277" s="34" t="s">
        <v>112</v>
      </c>
      <c r="E277" s="34"/>
      <c r="F277" s="144"/>
      <c r="G277" s="134">
        <f>G278</f>
        <v>76750900</v>
      </c>
      <c r="H277" s="134">
        <f t="shared" ref="H277:I277" si="140">H278</f>
        <v>72660000</v>
      </c>
      <c r="I277" s="29">
        <f t="shared" si="140"/>
        <v>72660000</v>
      </c>
      <c r="M277" s="256"/>
      <c r="N277" s="256"/>
      <c r="O277" s="256"/>
      <c r="P277" s="330"/>
      <c r="AE277" s="54"/>
      <c r="AF277" s="54"/>
    </row>
    <row r="278" spans="1:32" ht="30">
      <c r="A278" s="144">
        <v>262</v>
      </c>
      <c r="B278" s="298" t="s">
        <v>52</v>
      </c>
      <c r="C278" s="34" t="s">
        <v>153</v>
      </c>
      <c r="D278" s="34" t="s">
        <v>112</v>
      </c>
      <c r="E278" s="34" t="s">
        <v>171</v>
      </c>
      <c r="F278" s="144"/>
      <c r="G278" s="134">
        <f t="shared" ref="G278:I278" si="141">G279</f>
        <v>76750900</v>
      </c>
      <c r="H278" s="134">
        <f t="shared" si="141"/>
        <v>72660000</v>
      </c>
      <c r="I278" s="29">
        <f t="shared" si="141"/>
        <v>72660000</v>
      </c>
      <c r="M278" s="256"/>
      <c r="N278" s="256"/>
      <c r="O278" s="256"/>
      <c r="P278" s="330"/>
      <c r="AE278" s="54"/>
      <c r="AF278" s="54"/>
    </row>
    <row r="279" spans="1:32">
      <c r="A279" s="144">
        <v>263</v>
      </c>
      <c r="B279" s="306" t="s">
        <v>39</v>
      </c>
      <c r="C279" s="34" t="s">
        <v>153</v>
      </c>
      <c r="D279" s="34" t="s">
        <v>112</v>
      </c>
      <c r="E279" s="34" t="s">
        <v>181</v>
      </c>
      <c r="F279" s="144"/>
      <c r="G279" s="134">
        <f t="shared" ref="G279:H279" si="142">G280+G283</f>
        <v>76750900</v>
      </c>
      <c r="H279" s="134">
        <f t="shared" si="142"/>
        <v>72660000</v>
      </c>
      <c r="I279" s="29">
        <f t="shared" ref="I279" si="143">I280+I283</f>
        <v>72660000</v>
      </c>
      <c r="M279" s="256"/>
      <c r="N279" s="256"/>
      <c r="O279" s="256"/>
      <c r="P279" s="330"/>
      <c r="AE279" s="54"/>
      <c r="AF279" s="54"/>
    </row>
    <row r="280" spans="1:32" ht="45">
      <c r="A280" s="144">
        <v>264</v>
      </c>
      <c r="B280" s="307" t="s">
        <v>287</v>
      </c>
      <c r="C280" s="34" t="s">
        <v>153</v>
      </c>
      <c r="D280" s="34" t="s">
        <v>112</v>
      </c>
      <c r="E280" s="34" t="s">
        <v>182</v>
      </c>
      <c r="F280" s="144"/>
      <c r="G280" s="134">
        <f t="shared" ref="G280:I281" si="144">G281</f>
        <v>28196600</v>
      </c>
      <c r="H280" s="134">
        <f t="shared" si="144"/>
        <v>26739500</v>
      </c>
      <c r="I280" s="29">
        <f t="shared" si="144"/>
        <v>26739500</v>
      </c>
      <c r="M280" s="257"/>
      <c r="N280" s="255"/>
      <c r="O280" s="255"/>
      <c r="P280" s="330"/>
      <c r="AE280" s="54"/>
      <c r="AF280" s="54"/>
    </row>
    <row r="281" spans="1:32">
      <c r="A281" s="144">
        <v>265</v>
      </c>
      <c r="B281" s="143" t="s">
        <v>32</v>
      </c>
      <c r="C281" s="34" t="s">
        <v>153</v>
      </c>
      <c r="D281" s="34" t="s">
        <v>112</v>
      </c>
      <c r="E281" s="34" t="s">
        <v>182</v>
      </c>
      <c r="F281" s="144">
        <v>800</v>
      </c>
      <c r="G281" s="134">
        <f t="shared" si="144"/>
        <v>28196600</v>
      </c>
      <c r="H281" s="134">
        <f t="shared" si="144"/>
        <v>26739500</v>
      </c>
      <c r="I281" s="29">
        <f t="shared" si="144"/>
        <v>26739500</v>
      </c>
      <c r="M281" s="256"/>
      <c r="N281" s="256"/>
      <c r="O281" s="256"/>
      <c r="P281" s="330"/>
      <c r="AE281" s="54"/>
      <c r="AF281" s="54"/>
    </row>
    <row r="282" spans="1:32" ht="30">
      <c r="A282" s="144">
        <v>266</v>
      </c>
      <c r="B282" s="143" t="s">
        <v>45</v>
      </c>
      <c r="C282" s="34" t="s">
        <v>153</v>
      </c>
      <c r="D282" s="34" t="s">
        <v>112</v>
      </c>
      <c r="E282" s="34" t="s">
        <v>182</v>
      </c>
      <c r="F282" s="144">
        <v>810</v>
      </c>
      <c r="G282" s="309">
        <v>28196600</v>
      </c>
      <c r="H282" s="134">
        <v>26739500</v>
      </c>
      <c r="I282" s="157">
        <v>26739500</v>
      </c>
      <c r="M282" s="256"/>
      <c r="N282" s="256"/>
      <c r="O282" s="256"/>
      <c r="P282" s="330"/>
      <c r="AE282" s="54"/>
      <c r="AF282" s="54"/>
    </row>
    <row r="283" spans="1:32" ht="39" customHeight="1">
      <c r="A283" s="144">
        <v>267</v>
      </c>
      <c r="B283" s="307" t="s">
        <v>270</v>
      </c>
      <c r="C283" s="34" t="s">
        <v>153</v>
      </c>
      <c r="D283" s="34" t="s">
        <v>112</v>
      </c>
      <c r="E283" s="34" t="s">
        <v>183</v>
      </c>
      <c r="F283" s="144"/>
      <c r="G283" s="134">
        <f t="shared" ref="G283:I284" si="145">G284</f>
        <v>48554300</v>
      </c>
      <c r="H283" s="134">
        <f t="shared" si="145"/>
        <v>45920500</v>
      </c>
      <c r="I283" s="29">
        <f t="shared" si="145"/>
        <v>45920500</v>
      </c>
      <c r="M283" s="256"/>
      <c r="N283" s="256"/>
      <c r="O283" s="256"/>
      <c r="P283" s="330"/>
      <c r="AE283" s="54"/>
      <c r="AF283" s="54"/>
    </row>
    <row r="284" spans="1:32">
      <c r="A284" s="144">
        <v>268</v>
      </c>
      <c r="B284" s="143" t="s">
        <v>32</v>
      </c>
      <c r="C284" s="34" t="s">
        <v>153</v>
      </c>
      <c r="D284" s="34" t="s">
        <v>112</v>
      </c>
      <c r="E284" s="34" t="s">
        <v>183</v>
      </c>
      <c r="F284" s="144">
        <v>800</v>
      </c>
      <c r="G284" s="134">
        <f t="shared" si="145"/>
        <v>48554300</v>
      </c>
      <c r="H284" s="134">
        <f t="shared" si="145"/>
        <v>45920500</v>
      </c>
      <c r="I284" s="29">
        <f t="shared" si="145"/>
        <v>45920500</v>
      </c>
      <c r="M284" s="256"/>
      <c r="N284" s="256"/>
      <c r="O284" s="256"/>
      <c r="P284" s="330"/>
      <c r="AE284" s="54"/>
      <c r="AF284" s="54"/>
    </row>
    <row r="285" spans="1:32" ht="30">
      <c r="A285" s="144">
        <v>269</v>
      </c>
      <c r="B285" s="143" t="s">
        <v>45</v>
      </c>
      <c r="C285" s="34" t="s">
        <v>153</v>
      </c>
      <c r="D285" s="34" t="s">
        <v>112</v>
      </c>
      <c r="E285" s="34" t="s">
        <v>183</v>
      </c>
      <c r="F285" s="144">
        <v>810</v>
      </c>
      <c r="G285" s="309">
        <f>44554300+4000000</f>
        <v>48554300</v>
      </c>
      <c r="H285" s="309">
        <v>45920500</v>
      </c>
      <c r="I285" s="157">
        <v>45920500</v>
      </c>
      <c r="J285" s="245">
        <v>4000000</v>
      </c>
      <c r="M285" s="256"/>
      <c r="N285" s="256"/>
      <c r="O285" s="256"/>
      <c r="P285" s="330"/>
      <c r="AE285" s="54"/>
      <c r="AF285" s="54"/>
    </row>
    <row r="286" spans="1:32">
      <c r="A286" s="144">
        <v>270</v>
      </c>
      <c r="B286" s="299" t="s">
        <v>413</v>
      </c>
      <c r="C286" s="34" t="s">
        <v>153</v>
      </c>
      <c r="D286" s="34" t="s">
        <v>414</v>
      </c>
      <c r="E286" s="34"/>
      <c r="F286" s="144"/>
      <c r="G286" s="309">
        <f>G287+G295</f>
        <v>3096800</v>
      </c>
      <c r="H286" s="309">
        <f t="shared" ref="H286:I286" si="146">H287+H295</f>
        <v>5479500</v>
      </c>
      <c r="I286" s="32">
        <f t="shared" si="146"/>
        <v>5479500</v>
      </c>
      <c r="M286" s="256"/>
      <c r="N286" s="256"/>
      <c r="O286" s="256"/>
      <c r="P286" s="330"/>
      <c r="AE286" s="54"/>
      <c r="AF286" s="54"/>
    </row>
    <row r="287" spans="1:32">
      <c r="A287" s="144">
        <v>271</v>
      </c>
      <c r="B287" s="299" t="s">
        <v>417</v>
      </c>
      <c r="C287" s="34" t="s">
        <v>153</v>
      </c>
      <c r="D287" s="34" t="s">
        <v>415</v>
      </c>
      <c r="E287" s="34"/>
      <c r="F287" s="144"/>
      <c r="G287" s="309">
        <f t="shared" ref="G287:I288" si="147">G288</f>
        <v>596800</v>
      </c>
      <c r="H287" s="309">
        <f t="shared" si="147"/>
        <v>479500</v>
      </c>
      <c r="I287" s="32">
        <f t="shared" si="147"/>
        <v>479500</v>
      </c>
      <c r="M287" s="256"/>
      <c r="N287" s="256"/>
      <c r="O287" s="256"/>
      <c r="P287" s="330"/>
      <c r="AE287" s="54"/>
      <c r="AF287" s="54"/>
    </row>
    <row r="288" spans="1:32" ht="30">
      <c r="A288" s="144">
        <v>272</v>
      </c>
      <c r="B288" s="300" t="s">
        <v>492</v>
      </c>
      <c r="C288" s="34" t="s">
        <v>153</v>
      </c>
      <c r="D288" s="34" t="s">
        <v>415</v>
      </c>
      <c r="E288" s="34" t="s">
        <v>493</v>
      </c>
      <c r="F288" s="144"/>
      <c r="G288" s="134">
        <f>G289</f>
        <v>596800</v>
      </c>
      <c r="H288" s="134">
        <f t="shared" si="147"/>
        <v>479500</v>
      </c>
      <c r="I288" s="29">
        <f t="shared" si="147"/>
        <v>479500</v>
      </c>
      <c r="M288" s="256"/>
      <c r="N288" s="256"/>
      <c r="O288" s="256"/>
      <c r="P288" s="330"/>
      <c r="AE288" s="54"/>
      <c r="AF288" s="54"/>
    </row>
    <row r="289" spans="1:32" ht="30">
      <c r="A289" s="144">
        <v>273</v>
      </c>
      <c r="B289" s="300" t="s">
        <v>494</v>
      </c>
      <c r="C289" s="34" t="s">
        <v>153</v>
      </c>
      <c r="D289" s="34" t="s">
        <v>415</v>
      </c>
      <c r="E289" s="34" t="s">
        <v>495</v>
      </c>
      <c r="F289" s="144"/>
      <c r="G289" s="134">
        <f t="shared" ref="G289:I293" si="148">G290</f>
        <v>596800</v>
      </c>
      <c r="H289" s="134">
        <f t="shared" si="148"/>
        <v>479500</v>
      </c>
      <c r="I289" s="29">
        <f t="shared" si="148"/>
        <v>479500</v>
      </c>
      <c r="M289" s="256"/>
      <c r="N289" s="256"/>
      <c r="O289" s="256"/>
      <c r="P289" s="330"/>
      <c r="AE289" s="54"/>
      <c r="AF289" s="54"/>
    </row>
    <row r="290" spans="1:32" ht="84" customHeight="1">
      <c r="A290" s="144">
        <v>274</v>
      </c>
      <c r="B290" s="307" t="s">
        <v>599</v>
      </c>
      <c r="C290" s="34" t="s">
        <v>153</v>
      </c>
      <c r="D290" s="34" t="s">
        <v>415</v>
      </c>
      <c r="E290" s="34" t="s">
        <v>496</v>
      </c>
      <c r="F290" s="144"/>
      <c r="G290" s="134">
        <f t="shared" ref="G290:H290" si="149">G291+G293</f>
        <v>596800</v>
      </c>
      <c r="H290" s="134">
        <f t="shared" si="149"/>
        <v>479500</v>
      </c>
      <c r="I290" s="29">
        <f t="shared" ref="I290" si="150">I291+I293</f>
        <v>479500</v>
      </c>
      <c r="M290" s="256"/>
      <c r="N290" s="256"/>
      <c r="O290" s="256"/>
      <c r="P290" s="330"/>
      <c r="AE290" s="54"/>
      <c r="AF290" s="54"/>
    </row>
    <row r="291" spans="1:32" ht="45">
      <c r="A291" s="144">
        <v>275</v>
      </c>
      <c r="B291" s="143" t="s">
        <v>15</v>
      </c>
      <c r="C291" s="34" t="s">
        <v>153</v>
      </c>
      <c r="D291" s="34" t="s">
        <v>415</v>
      </c>
      <c r="E291" s="34" t="s">
        <v>496</v>
      </c>
      <c r="F291" s="144">
        <v>100</v>
      </c>
      <c r="G291" s="134">
        <f t="shared" ref="G291:I291" si="151">G292</f>
        <v>104234</v>
      </c>
      <c r="H291" s="134">
        <f t="shared" si="151"/>
        <v>95835</v>
      </c>
      <c r="I291" s="29">
        <f t="shared" si="151"/>
        <v>95835</v>
      </c>
      <c r="M291" s="256"/>
      <c r="N291" s="256"/>
      <c r="O291" s="256"/>
      <c r="P291" s="330"/>
      <c r="AE291" s="54"/>
      <c r="AF291" s="54"/>
    </row>
    <row r="292" spans="1:32">
      <c r="A292" s="144">
        <v>276</v>
      </c>
      <c r="B292" s="143" t="s">
        <v>16</v>
      </c>
      <c r="C292" s="34" t="s">
        <v>153</v>
      </c>
      <c r="D292" s="34" t="s">
        <v>415</v>
      </c>
      <c r="E292" s="34" t="s">
        <v>496</v>
      </c>
      <c r="F292" s="144">
        <v>120</v>
      </c>
      <c r="G292" s="134">
        <f>95835+8400-1</f>
        <v>104234</v>
      </c>
      <c r="H292" s="134">
        <v>95835</v>
      </c>
      <c r="I292" s="157">
        <v>95835</v>
      </c>
      <c r="J292" s="254"/>
      <c r="M292" s="256"/>
      <c r="N292" s="256"/>
      <c r="O292" s="256"/>
      <c r="P292" s="330"/>
      <c r="AE292" s="54"/>
      <c r="AF292" s="54"/>
    </row>
    <row r="293" spans="1:32">
      <c r="A293" s="144">
        <v>277</v>
      </c>
      <c r="B293" s="143" t="s">
        <v>20</v>
      </c>
      <c r="C293" s="34" t="s">
        <v>153</v>
      </c>
      <c r="D293" s="34" t="s">
        <v>415</v>
      </c>
      <c r="E293" s="34" t="s">
        <v>496</v>
      </c>
      <c r="F293" s="144">
        <v>200</v>
      </c>
      <c r="G293" s="134">
        <f t="shared" si="148"/>
        <v>492566</v>
      </c>
      <c r="H293" s="134">
        <f t="shared" si="148"/>
        <v>383665</v>
      </c>
      <c r="I293" s="29">
        <f t="shared" si="148"/>
        <v>383665</v>
      </c>
      <c r="J293" s="254"/>
      <c r="M293" s="256"/>
      <c r="N293" s="256"/>
      <c r="O293" s="256"/>
      <c r="P293" s="330"/>
      <c r="AE293" s="54"/>
      <c r="AF293" s="54"/>
    </row>
    <row r="294" spans="1:32">
      <c r="A294" s="144">
        <v>278</v>
      </c>
      <c r="B294" s="143" t="s">
        <v>21</v>
      </c>
      <c r="C294" s="34" t="s">
        <v>153</v>
      </c>
      <c r="D294" s="34" t="s">
        <v>415</v>
      </c>
      <c r="E294" s="34" t="s">
        <v>496</v>
      </c>
      <c r="F294" s="144">
        <v>240</v>
      </c>
      <c r="G294" s="134">
        <f>492565+1</f>
        <v>492566</v>
      </c>
      <c r="H294" s="134">
        <v>383665</v>
      </c>
      <c r="I294" s="157">
        <v>383665</v>
      </c>
      <c r="J294" s="254"/>
      <c r="M294" s="256"/>
      <c r="N294" s="256"/>
      <c r="O294" s="256"/>
      <c r="P294" s="330"/>
      <c r="AE294" s="54"/>
      <c r="AF294" s="54"/>
    </row>
    <row r="295" spans="1:32">
      <c r="A295" s="144">
        <v>279</v>
      </c>
      <c r="B295" s="310" t="s">
        <v>420</v>
      </c>
      <c r="C295" s="34" t="s">
        <v>153</v>
      </c>
      <c r="D295" s="34" t="s">
        <v>421</v>
      </c>
      <c r="E295" s="34"/>
      <c r="F295" s="144"/>
      <c r="G295" s="134">
        <f>G296+G299+G302+G305</f>
        <v>2500000</v>
      </c>
      <c r="H295" s="134">
        <f t="shared" ref="H295:I295" si="152">H296+H299+H302+H305</f>
        <v>5000000</v>
      </c>
      <c r="I295" s="29">
        <f t="shared" si="152"/>
        <v>5000000</v>
      </c>
      <c r="M295" s="256"/>
      <c r="N295" s="256"/>
      <c r="O295" s="256"/>
      <c r="P295" s="330"/>
      <c r="AE295" s="54"/>
      <c r="AF295" s="54"/>
    </row>
    <row r="296" spans="1:32" ht="75">
      <c r="A296" s="144">
        <v>280</v>
      </c>
      <c r="B296" s="299" t="s">
        <v>600</v>
      </c>
      <c r="C296" s="34" t="s">
        <v>153</v>
      </c>
      <c r="D296" s="34" t="s">
        <v>421</v>
      </c>
      <c r="E296" s="34" t="s">
        <v>524</v>
      </c>
      <c r="F296" s="144"/>
      <c r="G296" s="134">
        <f>G297</f>
        <v>0</v>
      </c>
      <c r="H296" s="134">
        <f t="shared" ref="H296:I297" si="153">H297</f>
        <v>0</v>
      </c>
      <c r="I296" s="29">
        <f t="shared" si="153"/>
        <v>0</v>
      </c>
      <c r="M296" s="256"/>
      <c r="N296" s="256"/>
      <c r="O296" s="256"/>
      <c r="P296" s="330"/>
      <c r="AE296" s="54"/>
      <c r="AF296" s="54"/>
    </row>
    <row r="297" spans="1:32">
      <c r="A297" s="144">
        <v>281</v>
      </c>
      <c r="B297" s="143" t="s">
        <v>20</v>
      </c>
      <c r="C297" s="34" t="s">
        <v>153</v>
      </c>
      <c r="D297" s="34" t="s">
        <v>421</v>
      </c>
      <c r="E297" s="34" t="s">
        <v>524</v>
      </c>
      <c r="F297" s="144">
        <v>200</v>
      </c>
      <c r="G297" s="134">
        <f>G298</f>
        <v>0</v>
      </c>
      <c r="H297" s="134">
        <f t="shared" si="153"/>
        <v>0</v>
      </c>
      <c r="I297" s="29">
        <f t="shared" si="153"/>
        <v>0</v>
      </c>
      <c r="M297" s="256"/>
      <c r="N297" s="256"/>
      <c r="O297" s="256"/>
      <c r="P297" s="330"/>
      <c r="AE297" s="54"/>
      <c r="AF297" s="54"/>
    </row>
    <row r="298" spans="1:32">
      <c r="A298" s="144">
        <v>282</v>
      </c>
      <c r="B298" s="143" t="s">
        <v>21</v>
      </c>
      <c r="C298" s="34" t="s">
        <v>153</v>
      </c>
      <c r="D298" s="34" t="s">
        <v>421</v>
      </c>
      <c r="E298" s="34" t="s">
        <v>524</v>
      </c>
      <c r="F298" s="144">
        <v>240</v>
      </c>
      <c r="G298" s="134">
        <f>100000-100000</f>
        <v>0</v>
      </c>
      <c r="H298" s="134">
        <v>0</v>
      </c>
      <c r="I298" s="157">
        <v>0</v>
      </c>
      <c r="J298" s="254"/>
      <c r="M298" s="256"/>
      <c r="N298" s="256"/>
      <c r="O298" s="256"/>
      <c r="P298" s="330"/>
      <c r="AE298" s="54"/>
      <c r="AF298" s="54"/>
    </row>
    <row r="299" spans="1:32" ht="75">
      <c r="A299" s="144">
        <v>283</v>
      </c>
      <c r="B299" s="143" t="s">
        <v>601</v>
      </c>
      <c r="C299" s="34" t="s">
        <v>153</v>
      </c>
      <c r="D299" s="34" t="s">
        <v>421</v>
      </c>
      <c r="E299" s="34" t="s">
        <v>528</v>
      </c>
      <c r="F299" s="144"/>
      <c r="G299" s="134">
        <f>G300</f>
        <v>0</v>
      </c>
      <c r="H299" s="134">
        <f t="shared" ref="H299:I300" si="154">H300</f>
        <v>0</v>
      </c>
      <c r="I299" s="29">
        <f t="shared" si="154"/>
        <v>0</v>
      </c>
      <c r="M299" s="256"/>
      <c r="N299" s="256"/>
      <c r="O299" s="256"/>
      <c r="P299" s="330"/>
      <c r="AE299" s="54"/>
      <c r="AF299" s="54"/>
    </row>
    <row r="300" spans="1:32">
      <c r="A300" s="144">
        <v>284</v>
      </c>
      <c r="B300" s="143" t="s">
        <v>20</v>
      </c>
      <c r="C300" s="34" t="s">
        <v>153</v>
      </c>
      <c r="D300" s="34" t="s">
        <v>421</v>
      </c>
      <c r="E300" s="34" t="s">
        <v>528</v>
      </c>
      <c r="F300" s="144">
        <v>200</v>
      </c>
      <c r="G300" s="134">
        <f>G301</f>
        <v>0</v>
      </c>
      <c r="H300" s="134">
        <f t="shared" si="154"/>
        <v>0</v>
      </c>
      <c r="I300" s="29">
        <f t="shared" si="154"/>
        <v>0</v>
      </c>
      <c r="M300" s="256"/>
      <c r="N300" s="256"/>
      <c r="O300" s="256"/>
      <c r="P300" s="330"/>
      <c r="AE300" s="54"/>
      <c r="AF300" s="54"/>
    </row>
    <row r="301" spans="1:32">
      <c r="A301" s="144">
        <v>285</v>
      </c>
      <c r="B301" s="143" t="s">
        <v>21</v>
      </c>
      <c r="C301" s="34" t="s">
        <v>153</v>
      </c>
      <c r="D301" s="34" t="s">
        <v>421</v>
      </c>
      <c r="E301" s="34" t="s">
        <v>528</v>
      </c>
      <c r="F301" s="144">
        <v>240</v>
      </c>
      <c r="G301" s="134">
        <f>5000000-2500000-2500000</f>
        <v>0</v>
      </c>
      <c r="H301" s="134">
        <v>0</v>
      </c>
      <c r="I301" s="157">
        <v>0</v>
      </c>
      <c r="J301" s="254"/>
      <c r="M301" s="256"/>
      <c r="N301" s="256"/>
      <c r="O301" s="256"/>
      <c r="P301" s="330"/>
      <c r="AE301" s="54"/>
      <c r="AF301" s="54"/>
    </row>
    <row r="302" spans="1:32" ht="58.5" customHeight="1">
      <c r="A302" s="144">
        <v>286</v>
      </c>
      <c r="B302" s="143" t="s">
        <v>602</v>
      </c>
      <c r="C302" s="34" t="s">
        <v>153</v>
      </c>
      <c r="D302" s="34" t="s">
        <v>421</v>
      </c>
      <c r="E302" s="34" t="s">
        <v>529</v>
      </c>
      <c r="F302" s="144"/>
      <c r="G302" s="134">
        <f>G303</f>
        <v>0</v>
      </c>
      <c r="H302" s="134">
        <f t="shared" ref="H302:I303" si="155">H303</f>
        <v>5000000</v>
      </c>
      <c r="I302" s="29">
        <f t="shared" si="155"/>
        <v>0</v>
      </c>
      <c r="M302" s="256"/>
      <c r="N302" s="256"/>
      <c r="O302" s="256"/>
      <c r="P302" s="330"/>
      <c r="AE302" s="54"/>
      <c r="AF302" s="54"/>
    </row>
    <row r="303" spans="1:32">
      <c r="A303" s="144">
        <v>287</v>
      </c>
      <c r="B303" s="143" t="s">
        <v>20</v>
      </c>
      <c r="C303" s="34" t="s">
        <v>153</v>
      </c>
      <c r="D303" s="34" t="s">
        <v>421</v>
      </c>
      <c r="E303" s="34" t="s">
        <v>529</v>
      </c>
      <c r="F303" s="144">
        <v>200</v>
      </c>
      <c r="G303" s="134">
        <f>G304</f>
        <v>0</v>
      </c>
      <c r="H303" s="134">
        <f t="shared" si="155"/>
        <v>5000000</v>
      </c>
      <c r="I303" s="29">
        <f t="shared" si="155"/>
        <v>0</v>
      </c>
      <c r="M303" s="256"/>
      <c r="N303" s="256"/>
      <c r="O303" s="256"/>
      <c r="P303" s="330"/>
      <c r="AE303" s="54"/>
      <c r="AF303" s="54"/>
    </row>
    <row r="304" spans="1:32">
      <c r="A304" s="144">
        <v>288</v>
      </c>
      <c r="B304" s="143" t="s">
        <v>21</v>
      </c>
      <c r="C304" s="34" t="s">
        <v>153</v>
      </c>
      <c r="D304" s="34" t="s">
        <v>421</v>
      </c>
      <c r="E304" s="34" t="s">
        <v>529</v>
      </c>
      <c r="F304" s="144">
        <v>240</v>
      </c>
      <c r="G304" s="134">
        <v>0</v>
      </c>
      <c r="H304" s="134">
        <v>5000000</v>
      </c>
      <c r="I304" s="157"/>
      <c r="M304" s="256"/>
      <c r="N304" s="256"/>
      <c r="O304" s="256"/>
      <c r="P304" s="330"/>
      <c r="AE304" s="54"/>
      <c r="AF304" s="54"/>
    </row>
    <row r="305" spans="1:32" ht="78" customHeight="1">
      <c r="A305" s="144">
        <v>289</v>
      </c>
      <c r="B305" s="143" t="s">
        <v>598</v>
      </c>
      <c r="C305" s="34" t="s">
        <v>153</v>
      </c>
      <c r="D305" s="34" t="s">
        <v>421</v>
      </c>
      <c r="E305" s="34" t="s">
        <v>530</v>
      </c>
      <c r="F305" s="144"/>
      <c r="G305" s="134">
        <f>G306</f>
        <v>2500000</v>
      </c>
      <c r="H305" s="134">
        <f t="shared" ref="H305:I306" si="156">H306</f>
        <v>0</v>
      </c>
      <c r="I305" s="29">
        <f t="shared" si="156"/>
        <v>5000000</v>
      </c>
      <c r="M305" s="256"/>
      <c r="N305" s="256"/>
      <c r="O305" s="256"/>
      <c r="P305" s="330"/>
      <c r="AE305" s="54"/>
      <c r="AF305" s="54"/>
    </row>
    <row r="306" spans="1:32">
      <c r="A306" s="144">
        <v>290</v>
      </c>
      <c r="B306" s="143" t="s">
        <v>20</v>
      </c>
      <c r="C306" s="34" t="s">
        <v>153</v>
      </c>
      <c r="D306" s="34" t="s">
        <v>421</v>
      </c>
      <c r="E306" s="34" t="s">
        <v>530</v>
      </c>
      <c r="F306" s="144">
        <v>200</v>
      </c>
      <c r="G306" s="134">
        <f>G307</f>
        <v>2500000</v>
      </c>
      <c r="H306" s="134">
        <f t="shared" si="156"/>
        <v>0</v>
      </c>
      <c r="I306" s="29">
        <f t="shared" si="156"/>
        <v>5000000</v>
      </c>
      <c r="M306" s="256"/>
      <c r="N306" s="256"/>
      <c r="O306" s="256"/>
      <c r="P306" s="330"/>
      <c r="AE306" s="54"/>
      <c r="AF306" s="54"/>
    </row>
    <row r="307" spans="1:32">
      <c r="A307" s="144">
        <v>291</v>
      </c>
      <c r="B307" s="143" t="s">
        <v>21</v>
      </c>
      <c r="C307" s="34" t="s">
        <v>153</v>
      </c>
      <c r="D307" s="34" t="s">
        <v>421</v>
      </c>
      <c r="E307" s="34" t="s">
        <v>530</v>
      </c>
      <c r="F307" s="144">
        <v>240</v>
      </c>
      <c r="G307" s="134">
        <f>2500000</f>
        <v>2500000</v>
      </c>
      <c r="H307" s="134">
        <v>0</v>
      </c>
      <c r="I307" s="157">
        <v>5000000</v>
      </c>
      <c r="J307" s="254"/>
      <c r="M307" s="256"/>
      <c r="N307" s="256"/>
      <c r="O307" s="256"/>
      <c r="P307" s="330"/>
      <c r="AE307" s="54"/>
      <c r="AF307" s="54"/>
    </row>
    <row r="308" spans="1:32">
      <c r="A308" s="144">
        <v>292</v>
      </c>
      <c r="B308" s="297" t="s">
        <v>113</v>
      </c>
      <c r="C308" s="34" t="s">
        <v>153</v>
      </c>
      <c r="D308" s="34" t="s">
        <v>114</v>
      </c>
      <c r="E308" s="34"/>
      <c r="F308" s="144"/>
      <c r="G308" s="134">
        <f t="shared" ref="G308:I311" si="157">G309</f>
        <v>3923200</v>
      </c>
      <c r="H308" s="134">
        <f t="shared" si="157"/>
        <v>3670100</v>
      </c>
      <c r="I308" s="29">
        <f t="shared" si="157"/>
        <v>3670100</v>
      </c>
      <c r="M308" s="256"/>
      <c r="N308" s="256"/>
      <c r="O308" s="256"/>
      <c r="P308" s="330"/>
      <c r="AE308" s="54"/>
      <c r="AF308" s="54"/>
    </row>
    <row r="309" spans="1:32">
      <c r="A309" s="144">
        <v>293</v>
      </c>
      <c r="B309" s="143" t="s">
        <v>53</v>
      </c>
      <c r="C309" s="34" t="s">
        <v>153</v>
      </c>
      <c r="D309" s="34" t="s">
        <v>119</v>
      </c>
      <c r="E309" s="34"/>
      <c r="F309" s="144"/>
      <c r="G309" s="134">
        <f t="shared" si="157"/>
        <v>3923200</v>
      </c>
      <c r="H309" s="134">
        <f t="shared" si="157"/>
        <v>3670100</v>
      </c>
      <c r="I309" s="29">
        <f t="shared" si="157"/>
        <v>3670100</v>
      </c>
      <c r="M309" s="256"/>
      <c r="N309" s="256"/>
      <c r="O309" s="256"/>
      <c r="P309" s="330"/>
      <c r="AE309" s="54"/>
      <c r="AF309" s="54"/>
    </row>
    <row r="310" spans="1:32" ht="30">
      <c r="A310" s="144">
        <v>294</v>
      </c>
      <c r="B310" s="298" t="s">
        <v>54</v>
      </c>
      <c r="C310" s="34" t="s">
        <v>153</v>
      </c>
      <c r="D310" s="34" t="s">
        <v>119</v>
      </c>
      <c r="E310" s="34" t="s">
        <v>184</v>
      </c>
      <c r="F310" s="144"/>
      <c r="G310" s="134">
        <f t="shared" si="157"/>
        <v>3923200</v>
      </c>
      <c r="H310" s="134">
        <f t="shared" si="157"/>
        <v>3670100</v>
      </c>
      <c r="I310" s="29">
        <f t="shared" si="157"/>
        <v>3670100</v>
      </c>
      <c r="M310" s="256"/>
      <c r="N310" s="256"/>
      <c r="O310" s="256"/>
      <c r="P310" s="330"/>
      <c r="AE310" s="54"/>
      <c r="AF310" s="54"/>
    </row>
    <row r="311" spans="1:32">
      <c r="A311" s="144">
        <v>295</v>
      </c>
      <c r="B311" s="298" t="s">
        <v>55</v>
      </c>
      <c r="C311" s="34" t="s">
        <v>153</v>
      </c>
      <c r="D311" s="34" t="s">
        <v>119</v>
      </c>
      <c r="E311" s="34" t="s">
        <v>185</v>
      </c>
      <c r="F311" s="144"/>
      <c r="G311" s="134">
        <f t="shared" si="157"/>
        <v>3923200</v>
      </c>
      <c r="H311" s="134">
        <f t="shared" si="157"/>
        <v>3670100</v>
      </c>
      <c r="I311" s="29">
        <f t="shared" si="157"/>
        <v>3670100</v>
      </c>
      <c r="M311" s="256"/>
      <c r="N311" s="256"/>
      <c r="O311" s="256"/>
      <c r="P311" s="330"/>
      <c r="AE311" s="54"/>
      <c r="AF311" s="54"/>
    </row>
    <row r="312" spans="1:32" ht="45">
      <c r="A312" s="144">
        <v>296</v>
      </c>
      <c r="B312" s="307" t="s">
        <v>149</v>
      </c>
      <c r="C312" s="34" t="s">
        <v>153</v>
      </c>
      <c r="D312" s="34" t="s">
        <v>119</v>
      </c>
      <c r="E312" s="34" t="s">
        <v>186</v>
      </c>
      <c r="F312" s="144"/>
      <c r="G312" s="134">
        <f t="shared" ref="G312:H312" si="158">G313+G315</f>
        <v>3923200</v>
      </c>
      <c r="H312" s="134">
        <f t="shared" si="158"/>
        <v>3670100</v>
      </c>
      <c r="I312" s="29">
        <f t="shared" ref="I312" si="159">I313+I315</f>
        <v>3670100</v>
      </c>
      <c r="M312" s="256"/>
      <c r="N312" s="256"/>
      <c r="O312" s="256"/>
      <c r="P312" s="330"/>
      <c r="AE312" s="54"/>
      <c r="AF312" s="54"/>
    </row>
    <row r="313" spans="1:32" ht="45">
      <c r="A313" s="144">
        <v>297</v>
      </c>
      <c r="B313" s="143" t="s">
        <v>15</v>
      </c>
      <c r="C313" s="34" t="s">
        <v>153</v>
      </c>
      <c r="D313" s="34" t="s">
        <v>119</v>
      </c>
      <c r="E313" s="34" t="s">
        <v>186</v>
      </c>
      <c r="F313" s="144">
        <v>100</v>
      </c>
      <c r="G313" s="134">
        <f t="shared" ref="G313:I313" si="160">G314</f>
        <v>3296980</v>
      </c>
      <c r="H313" s="134">
        <f t="shared" si="160"/>
        <v>2925014</v>
      </c>
      <c r="I313" s="29">
        <f t="shared" si="160"/>
        <v>2925014</v>
      </c>
      <c r="M313" s="256"/>
      <c r="N313" s="256"/>
      <c r="O313" s="256"/>
      <c r="P313" s="330"/>
      <c r="AE313" s="54"/>
      <c r="AF313" s="54"/>
    </row>
    <row r="314" spans="1:32">
      <c r="A314" s="144">
        <v>298</v>
      </c>
      <c r="B314" s="143" t="s">
        <v>16</v>
      </c>
      <c r="C314" s="34" t="s">
        <v>153</v>
      </c>
      <c r="D314" s="34" t="s">
        <v>119</v>
      </c>
      <c r="E314" s="34" t="s">
        <v>186</v>
      </c>
      <c r="F314" s="144">
        <v>120</v>
      </c>
      <c r="G314" s="134">
        <f>2925014+253100+118866</f>
        <v>3296980</v>
      </c>
      <c r="H314" s="134">
        <v>2925014</v>
      </c>
      <c r="I314" s="157">
        <v>2925014</v>
      </c>
      <c r="J314" s="254"/>
      <c r="M314" s="256"/>
      <c r="N314" s="256"/>
      <c r="O314" s="256"/>
      <c r="P314" s="330"/>
      <c r="AE314" s="54"/>
      <c r="AF314" s="54"/>
    </row>
    <row r="315" spans="1:32">
      <c r="A315" s="144">
        <v>299</v>
      </c>
      <c r="B315" s="143" t="s">
        <v>20</v>
      </c>
      <c r="C315" s="34" t="s">
        <v>153</v>
      </c>
      <c r="D315" s="34" t="s">
        <v>119</v>
      </c>
      <c r="E315" s="34" t="s">
        <v>186</v>
      </c>
      <c r="F315" s="144">
        <v>200</v>
      </c>
      <c r="G315" s="134">
        <f t="shared" ref="G315:I315" si="161">G316</f>
        <v>626220</v>
      </c>
      <c r="H315" s="134">
        <f t="shared" si="161"/>
        <v>745086</v>
      </c>
      <c r="I315" s="29">
        <f t="shared" si="161"/>
        <v>745086</v>
      </c>
      <c r="J315" s="254"/>
      <c r="M315" s="256"/>
      <c r="N315" s="256"/>
      <c r="O315" s="256"/>
      <c r="P315" s="330"/>
      <c r="AE315" s="54"/>
      <c r="AF315" s="54"/>
    </row>
    <row r="316" spans="1:32">
      <c r="A316" s="144">
        <v>300</v>
      </c>
      <c r="B316" s="143" t="s">
        <v>21</v>
      </c>
      <c r="C316" s="34" t="s">
        <v>153</v>
      </c>
      <c r="D316" s="34" t="s">
        <v>119</v>
      </c>
      <c r="E316" s="34" t="s">
        <v>186</v>
      </c>
      <c r="F316" s="144">
        <v>240</v>
      </c>
      <c r="G316" s="134">
        <f>745086-118866</f>
        <v>626220</v>
      </c>
      <c r="H316" s="134">
        <v>745086</v>
      </c>
      <c r="I316" s="157">
        <v>745086</v>
      </c>
      <c r="J316" s="254"/>
      <c r="M316" s="256"/>
      <c r="N316" s="256"/>
      <c r="O316" s="256"/>
      <c r="P316" s="330"/>
      <c r="AE316" s="54"/>
      <c r="AF316" s="54"/>
    </row>
    <row r="317" spans="1:32">
      <c r="A317" s="144">
        <v>301</v>
      </c>
      <c r="B317" s="297" t="s">
        <v>124</v>
      </c>
      <c r="C317" s="34" t="s">
        <v>153</v>
      </c>
      <c r="D317" s="34" t="s">
        <v>125</v>
      </c>
      <c r="E317" s="34"/>
      <c r="F317" s="144"/>
      <c r="G317" s="134">
        <f t="shared" ref="G317:H317" si="162">G324+G330+G336+G318</f>
        <v>7549685.7199999997</v>
      </c>
      <c r="H317" s="134">
        <f t="shared" si="162"/>
        <v>8304436.2999999998</v>
      </c>
      <c r="I317" s="29">
        <f t="shared" ref="I317" si="163">I324+I330+I336+I318</f>
        <v>8116261.4399999995</v>
      </c>
      <c r="M317" s="256"/>
      <c r="N317" s="256"/>
      <c r="O317" s="256"/>
      <c r="P317" s="330"/>
      <c r="AE317" s="54"/>
      <c r="AF317" s="54"/>
    </row>
    <row r="318" spans="1:32">
      <c r="A318" s="144">
        <v>302</v>
      </c>
      <c r="B318" s="297" t="s">
        <v>76</v>
      </c>
      <c r="C318" s="34" t="s">
        <v>153</v>
      </c>
      <c r="D318" s="34" t="s">
        <v>126</v>
      </c>
      <c r="E318" s="34"/>
      <c r="F318" s="144"/>
      <c r="G318" s="134">
        <f t="shared" ref="G318:I318" si="164">G319</f>
        <v>1000000</v>
      </c>
      <c r="H318" s="134">
        <f t="shared" si="164"/>
        <v>1300000</v>
      </c>
      <c r="I318" s="29">
        <f t="shared" si="164"/>
        <v>1300000</v>
      </c>
      <c r="M318" s="256"/>
      <c r="N318" s="256"/>
      <c r="O318" s="256"/>
      <c r="P318" s="330"/>
      <c r="AE318" s="54"/>
      <c r="AF318" s="54"/>
    </row>
    <row r="319" spans="1:32">
      <c r="A319" s="144">
        <v>303</v>
      </c>
      <c r="B319" s="297" t="s">
        <v>308</v>
      </c>
      <c r="C319" s="34" t="s">
        <v>153</v>
      </c>
      <c r="D319" s="34" t="s">
        <v>126</v>
      </c>
      <c r="E319" s="34" t="s">
        <v>178</v>
      </c>
      <c r="F319" s="144"/>
      <c r="G319" s="134">
        <f t="shared" ref="G319:I322" si="165">G320</f>
        <v>1000000</v>
      </c>
      <c r="H319" s="134">
        <f t="shared" si="165"/>
        <v>1300000</v>
      </c>
      <c r="I319" s="29">
        <f t="shared" si="165"/>
        <v>1300000</v>
      </c>
      <c r="M319" s="256"/>
      <c r="N319" s="256"/>
      <c r="O319" s="256"/>
      <c r="P319" s="330"/>
      <c r="AE319" s="54"/>
      <c r="AF319" s="54"/>
    </row>
    <row r="320" spans="1:32">
      <c r="A320" s="144">
        <v>304</v>
      </c>
      <c r="B320" s="297" t="s">
        <v>387</v>
      </c>
      <c r="C320" s="34" t="s">
        <v>153</v>
      </c>
      <c r="D320" s="34" t="s">
        <v>126</v>
      </c>
      <c r="E320" s="34" t="s">
        <v>383</v>
      </c>
      <c r="F320" s="144"/>
      <c r="G320" s="134">
        <f t="shared" si="165"/>
        <v>1000000</v>
      </c>
      <c r="H320" s="134">
        <f t="shared" si="165"/>
        <v>1300000</v>
      </c>
      <c r="I320" s="29">
        <f t="shared" si="165"/>
        <v>1300000</v>
      </c>
      <c r="M320" s="256"/>
      <c r="N320" s="256"/>
      <c r="O320" s="256"/>
      <c r="P320" s="330"/>
      <c r="AE320" s="54"/>
      <c r="AF320" s="54"/>
    </row>
    <row r="321" spans="1:32" ht="60">
      <c r="A321" s="144">
        <v>305</v>
      </c>
      <c r="B321" s="308" t="s">
        <v>388</v>
      </c>
      <c r="C321" s="34" t="s">
        <v>153</v>
      </c>
      <c r="D321" s="34" t="s">
        <v>126</v>
      </c>
      <c r="E321" s="34" t="s">
        <v>389</v>
      </c>
      <c r="F321" s="144"/>
      <c r="G321" s="134">
        <f t="shared" si="165"/>
        <v>1000000</v>
      </c>
      <c r="H321" s="134">
        <f t="shared" si="165"/>
        <v>1300000</v>
      </c>
      <c r="I321" s="29">
        <f t="shared" si="165"/>
        <v>1300000</v>
      </c>
      <c r="M321" s="256"/>
      <c r="N321" s="256"/>
      <c r="O321" s="256"/>
      <c r="P321" s="330"/>
      <c r="AE321" s="54"/>
      <c r="AF321" s="54"/>
    </row>
    <row r="322" spans="1:32">
      <c r="A322" s="144">
        <v>306</v>
      </c>
      <c r="B322" s="143" t="s">
        <v>77</v>
      </c>
      <c r="C322" s="34" t="s">
        <v>153</v>
      </c>
      <c r="D322" s="34" t="s">
        <v>126</v>
      </c>
      <c r="E322" s="34" t="s">
        <v>389</v>
      </c>
      <c r="F322" s="144">
        <v>300</v>
      </c>
      <c r="G322" s="134">
        <f t="shared" si="165"/>
        <v>1000000</v>
      </c>
      <c r="H322" s="134">
        <f t="shared" si="165"/>
        <v>1300000</v>
      </c>
      <c r="I322" s="29">
        <f t="shared" si="165"/>
        <v>1300000</v>
      </c>
      <c r="M322" s="256"/>
      <c r="N322" s="256"/>
      <c r="O322" s="256"/>
      <c r="P322" s="330"/>
      <c r="AE322" s="54"/>
      <c r="AF322" s="54"/>
    </row>
    <row r="323" spans="1:32">
      <c r="A323" s="144">
        <v>307</v>
      </c>
      <c r="B323" s="297" t="s">
        <v>390</v>
      </c>
      <c r="C323" s="34" t="s">
        <v>153</v>
      </c>
      <c r="D323" s="34" t="s">
        <v>126</v>
      </c>
      <c r="E323" s="34" t="s">
        <v>389</v>
      </c>
      <c r="F323" s="144">
        <v>310</v>
      </c>
      <c r="G323" s="134">
        <f>1300000-300000</f>
        <v>1000000</v>
      </c>
      <c r="H323" s="134">
        <v>1300000</v>
      </c>
      <c r="I323" s="157">
        <v>1300000</v>
      </c>
      <c r="J323" s="335">
        <v>-300000</v>
      </c>
      <c r="M323" s="256"/>
      <c r="N323" s="256"/>
      <c r="O323" s="256"/>
      <c r="P323" s="330"/>
      <c r="AE323" s="54"/>
      <c r="AF323" s="54"/>
    </row>
    <row r="324" spans="1:32">
      <c r="A324" s="144">
        <v>308</v>
      </c>
      <c r="B324" s="143" t="s">
        <v>78</v>
      </c>
      <c r="C324" s="34" t="s">
        <v>153</v>
      </c>
      <c r="D324" s="34" t="s">
        <v>127</v>
      </c>
      <c r="E324" s="34"/>
      <c r="F324" s="144"/>
      <c r="G324" s="134">
        <f t="shared" ref="G324:I328" si="166">G325</f>
        <v>1571445.72</v>
      </c>
      <c r="H324" s="134">
        <f t="shared" si="166"/>
        <v>1853736.3</v>
      </c>
      <c r="I324" s="29">
        <f t="shared" si="166"/>
        <v>1821661.44</v>
      </c>
      <c r="M324" s="256"/>
      <c r="N324" s="256"/>
      <c r="O324" s="256"/>
      <c r="P324" s="330"/>
      <c r="AE324" s="54"/>
      <c r="AF324" s="54"/>
    </row>
    <row r="325" spans="1:32" ht="30">
      <c r="A325" s="144">
        <v>309</v>
      </c>
      <c r="B325" s="302" t="s">
        <v>57</v>
      </c>
      <c r="C325" s="34" t="s">
        <v>153</v>
      </c>
      <c r="D325" s="34" t="s">
        <v>127</v>
      </c>
      <c r="E325" s="34">
        <v>1100000000</v>
      </c>
      <c r="F325" s="144"/>
      <c r="G325" s="134">
        <f t="shared" si="166"/>
        <v>1571445.72</v>
      </c>
      <c r="H325" s="134">
        <f t="shared" si="166"/>
        <v>1853736.3</v>
      </c>
      <c r="I325" s="29">
        <f t="shared" si="166"/>
        <v>1821661.44</v>
      </c>
      <c r="M325" s="256"/>
      <c r="N325" s="256"/>
      <c r="O325" s="256"/>
      <c r="P325" s="330"/>
      <c r="AE325" s="54"/>
      <c r="AF325" s="54"/>
    </row>
    <row r="326" spans="1:32">
      <c r="A326" s="144">
        <v>310</v>
      </c>
      <c r="B326" s="302" t="s">
        <v>142</v>
      </c>
      <c r="C326" s="34" t="s">
        <v>153</v>
      </c>
      <c r="D326" s="34" t="s">
        <v>127</v>
      </c>
      <c r="E326" s="34">
        <v>1120000000</v>
      </c>
      <c r="F326" s="144"/>
      <c r="G326" s="134">
        <f t="shared" si="166"/>
        <v>1571445.72</v>
      </c>
      <c r="H326" s="134">
        <f t="shared" si="166"/>
        <v>1853736.3</v>
      </c>
      <c r="I326" s="29">
        <f t="shared" si="166"/>
        <v>1821661.44</v>
      </c>
      <c r="M326" s="256"/>
      <c r="N326" s="256"/>
      <c r="O326" s="256"/>
      <c r="P326" s="330"/>
      <c r="AE326" s="54"/>
      <c r="AF326" s="54"/>
    </row>
    <row r="327" spans="1:32">
      <c r="A327" s="144">
        <v>311</v>
      </c>
      <c r="B327" s="298" t="s">
        <v>147</v>
      </c>
      <c r="C327" s="34" t="s">
        <v>153</v>
      </c>
      <c r="D327" s="34" t="s">
        <v>127</v>
      </c>
      <c r="E327" s="34" t="s">
        <v>271</v>
      </c>
      <c r="F327" s="144"/>
      <c r="G327" s="134">
        <f t="shared" si="166"/>
        <v>1571445.72</v>
      </c>
      <c r="H327" s="134">
        <f t="shared" si="166"/>
        <v>1853736.3</v>
      </c>
      <c r="I327" s="29">
        <f t="shared" si="166"/>
        <v>1821661.44</v>
      </c>
      <c r="M327" s="256"/>
      <c r="N327" s="256"/>
      <c r="O327" s="256"/>
      <c r="P327" s="330"/>
      <c r="AE327" s="54"/>
      <c r="AF327" s="54"/>
    </row>
    <row r="328" spans="1:32">
      <c r="A328" s="144">
        <v>312</v>
      </c>
      <c r="B328" s="143" t="s">
        <v>77</v>
      </c>
      <c r="C328" s="34" t="s">
        <v>153</v>
      </c>
      <c r="D328" s="34" t="s">
        <v>127</v>
      </c>
      <c r="E328" s="34" t="s">
        <v>271</v>
      </c>
      <c r="F328" s="144">
        <v>300</v>
      </c>
      <c r="G328" s="134">
        <f t="shared" si="166"/>
        <v>1571445.72</v>
      </c>
      <c r="H328" s="134">
        <f t="shared" si="166"/>
        <v>1853736.3</v>
      </c>
      <c r="I328" s="29">
        <f t="shared" si="166"/>
        <v>1821661.44</v>
      </c>
      <c r="M328" s="256"/>
      <c r="N328" s="256"/>
      <c r="O328" s="256"/>
      <c r="P328" s="330"/>
      <c r="AE328" s="54"/>
      <c r="AF328" s="54"/>
    </row>
    <row r="329" spans="1:32">
      <c r="A329" s="144">
        <v>313</v>
      </c>
      <c r="B329" s="143" t="s">
        <v>81</v>
      </c>
      <c r="C329" s="34" t="s">
        <v>153</v>
      </c>
      <c r="D329" s="34" t="s">
        <v>127</v>
      </c>
      <c r="E329" s="34" t="s">
        <v>271</v>
      </c>
      <c r="F329" s="144">
        <v>320</v>
      </c>
      <c r="G329" s="134">
        <f>700000+871445.72</f>
        <v>1571445.72</v>
      </c>
      <c r="H329" s="134">
        <f>700000+1153736.3</f>
        <v>1853736.3</v>
      </c>
      <c r="I329" s="157">
        <f>700000+1121661.44</f>
        <v>1821661.44</v>
      </c>
      <c r="J329" s="254"/>
      <c r="K329" s="254"/>
      <c r="L329" s="254"/>
      <c r="M329" s="256"/>
      <c r="N329" s="256"/>
      <c r="O329" s="256"/>
      <c r="P329" s="330"/>
      <c r="AE329" s="54"/>
      <c r="AF329" s="54"/>
    </row>
    <row r="330" spans="1:32">
      <c r="A330" s="144">
        <v>314</v>
      </c>
      <c r="B330" s="306" t="s">
        <v>58</v>
      </c>
      <c r="C330" s="34" t="s">
        <v>153</v>
      </c>
      <c r="D330" s="34" t="s">
        <v>166</v>
      </c>
      <c r="E330" s="34"/>
      <c r="F330" s="144"/>
      <c r="G330" s="134">
        <f t="shared" ref="G330:I330" si="167">G331</f>
        <v>3290165.45</v>
      </c>
      <c r="H330" s="134">
        <f t="shared" si="167"/>
        <v>3277679.33</v>
      </c>
      <c r="I330" s="29">
        <f t="shared" si="167"/>
        <v>3121599.36</v>
      </c>
      <c r="M330" s="256"/>
      <c r="N330" s="256"/>
      <c r="O330" s="256"/>
      <c r="P330" s="330"/>
      <c r="AE330" s="54"/>
      <c r="AF330" s="54"/>
    </row>
    <row r="331" spans="1:32" ht="30">
      <c r="A331" s="144">
        <v>315</v>
      </c>
      <c r="B331" s="302" t="s">
        <v>57</v>
      </c>
      <c r="C331" s="34" t="s">
        <v>153</v>
      </c>
      <c r="D331" s="34" t="s">
        <v>166</v>
      </c>
      <c r="E331" s="34">
        <v>1100000000</v>
      </c>
      <c r="F331" s="144"/>
      <c r="G331" s="134">
        <f t="shared" ref="G331:I334" si="168">G332</f>
        <v>3290165.45</v>
      </c>
      <c r="H331" s="134">
        <f t="shared" si="168"/>
        <v>3277679.33</v>
      </c>
      <c r="I331" s="29">
        <f t="shared" si="168"/>
        <v>3121599.36</v>
      </c>
      <c r="M331" s="256"/>
      <c r="N331" s="256"/>
      <c r="O331" s="256"/>
      <c r="P331" s="330"/>
      <c r="AE331" s="54"/>
      <c r="AF331" s="54"/>
    </row>
    <row r="332" spans="1:32" ht="30">
      <c r="A332" s="144">
        <v>316</v>
      </c>
      <c r="B332" s="298" t="s">
        <v>154</v>
      </c>
      <c r="C332" s="34" t="s">
        <v>153</v>
      </c>
      <c r="D332" s="34" t="s">
        <v>166</v>
      </c>
      <c r="E332" s="34">
        <v>1150000000</v>
      </c>
      <c r="F332" s="144"/>
      <c r="G332" s="134">
        <f t="shared" si="168"/>
        <v>3290165.45</v>
      </c>
      <c r="H332" s="134">
        <f t="shared" si="168"/>
        <v>3277679.33</v>
      </c>
      <c r="I332" s="29">
        <f t="shared" si="168"/>
        <v>3121599.36</v>
      </c>
      <c r="M332" s="256"/>
      <c r="N332" s="256"/>
      <c r="O332" s="256"/>
      <c r="P332" s="330"/>
      <c r="AE332" s="54"/>
      <c r="AF332" s="54"/>
    </row>
    <row r="333" spans="1:32" ht="45">
      <c r="A333" s="144">
        <v>317</v>
      </c>
      <c r="B333" s="298" t="s">
        <v>378</v>
      </c>
      <c r="C333" s="34" t="s">
        <v>153</v>
      </c>
      <c r="D333" s="34" t="s">
        <v>166</v>
      </c>
      <c r="E333" s="34">
        <v>1150075870</v>
      </c>
      <c r="F333" s="144"/>
      <c r="G333" s="134">
        <f t="shared" si="168"/>
        <v>3290165.45</v>
      </c>
      <c r="H333" s="134">
        <f t="shared" si="168"/>
        <v>3277679.33</v>
      </c>
      <c r="I333" s="29">
        <f t="shared" si="168"/>
        <v>3121599.36</v>
      </c>
      <c r="M333" s="256"/>
      <c r="N333" s="256"/>
      <c r="O333" s="256"/>
      <c r="P333" s="330"/>
      <c r="AE333" s="54"/>
      <c r="AF333" s="54"/>
    </row>
    <row r="334" spans="1:32" ht="30">
      <c r="A334" s="144">
        <v>318</v>
      </c>
      <c r="B334" s="299" t="s">
        <v>155</v>
      </c>
      <c r="C334" s="34" t="s">
        <v>153</v>
      </c>
      <c r="D334" s="34" t="s">
        <v>166</v>
      </c>
      <c r="E334" s="34">
        <v>1150075870</v>
      </c>
      <c r="F334" s="144">
        <v>400</v>
      </c>
      <c r="G334" s="134">
        <f t="shared" si="168"/>
        <v>3290165.45</v>
      </c>
      <c r="H334" s="134">
        <f t="shared" si="168"/>
        <v>3277679.33</v>
      </c>
      <c r="I334" s="29">
        <f t="shared" si="168"/>
        <v>3121599.36</v>
      </c>
      <c r="M334" s="256"/>
      <c r="N334" s="256"/>
      <c r="O334" s="256"/>
      <c r="P334" s="330"/>
      <c r="AE334" s="54"/>
      <c r="AF334" s="54"/>
    </row>
    <row r="335" spans="1:32">
      <c r="A335" s="144">
        <v>319</v>
      </c>
      <c r="B335" s="299" t="s">
        <v>156</v>
      </c>
      <c r="C335" s="34" t="s">
        <v>153</v>
      </c>
      <c r="D335" s="34" t="s">
        <v>166</v>
      </c>
      <c r="E335" s="34">
        <v>1150075870</v>
      </c>
      <c r="F335" s="144">
        <v>410</v>
      </c>
      <c r="G335" s="134">
        <f>3290200-34.55</f>
        <v>3290165.45</v>
      </c>
      <c r="H335" s="134">
        <f>3277700-20.67</f>
        <v>3277679.33</v>
      </c>
      <c r="I335" s="157">
        <f>3121600-0.64</f>
        <v>3121599.36</v>
      </c>
      <c r="J335" s="254"/>
      <c r="K335" s="254"/>
      <c r="L335" s="254"/>
      <c r="M335" s="256"/>
      <c r="N335" s="256"/>
      <c r="O335" s="256"/>
      <c r="P335" s="330"/>
      <c r="AE335" s="54"/>
      <c r="AF335" s="54"/>
    </row>
    <row r="336" spans="1:32" ht="15.75">
      <c r="A336" s="144">
        <v>320</v>
      </c>
      <c r="B336" s="311" t="s">
        <v>79</v>
      </c>
      <c r="C336" s="34" t="s">
        <v>153</v>
      </c>
      <c r="D336" s="34" t="s">
        <v>128</v>
      </c>
      <c r="E336" s="34"/>
      <c r="F336" s="144"/>
      <c r="G336" s="134">
        <f>G337+G349+G359</f>
        <v>1688074.55</v>
      </c>
      <c r="H336" s="134">
        <f t="shared" ref="H336:I336" si="169">H337+H349+H359</f>
        <v>1873020.67</v>
      </c>
      <c r="I336" s="29">
        <f t="shared" si="169"/>
        <v>1873000.64</v>
      </c>
      <c r="M336" s="256"/>
      <c r="N336" s="256"/>
      <c r="O336" s="256"/>
      <c r="P336" s="330"/>
      <c r="AE336" s="54"/>
      <c r="AF336" s="54"/>
    </row>
    <row r="337" spans="1:32">
      <c r="A337" s="144">
        <v>321</v>
      </c>
      <c r="B337" s="299" t="s">
        <v>255</v>
      </c>
      <c r="C337" s="34" t="s">
        <v>153</v>
      </c>
      <c r="D337" s="34" t="s">
        <v>128</v>
      </c>
      <c r="E337" s="34">
        <v>8500000000</v>
      </c>
      <c r="F337" s="144"/>
      <c r="G337" s="134">
        <f t="shared" ref="G337:I337" si="170">G338</f>
        <v>1249000</v>
      </c>
      <c r="H337" s="134">
        <f t="shared" si="170"/>
        <v>1160000</v>
      </c>
      <c r="I337" s="29">
        <f t="shared" si="170"/>
        <v>1160000</v>
      </c>
      <c r="M337" s="256"/>
      <c r="N337" s="256"/>
      <c r="O337" s="256"/>
      <c r="P337" s="330"/>
      <c r="AE337" s="54"/>
      <c r="AF337" s="54"/>
    </row>
    <row r="338" spans="1:32">
      <c r="A338" s="144">
        <v>322</v>
      </c>
      <c r="B338" s="299" t="s">
        <v>256</v>
      </c>
      <c r="C338" s="34" t="s">
        <v>153</v>
      </c>
      <c r="D338" s="34" t="s">
        <v>128</v>
      </c>
      <c r="E338" s="34">
        <v>8510000000</v>
      </c>
      <c r="F338" s="144"/>
      <c r="G338" s="134">
        <f t="shared" ref="G338:I338" si="171">G339+G344</f>
        <v>1249000</v>
      </c>
      <c r="H338" s="134">
        <f t="shared" si="171"/>
        <v>1160000</v>
      </c>
      <c r="I338" s="29">
        <f t="shared" si="171"/>
        <v>1160000</v>
      </c>
      <c r="M338" s="256"/>
      <c r="N338" s="256"/>
      <c r="O338" s="256"/>
      <c r="P338" s="330"/>
      <c r="AE338" s="54"/>
      <c r="AF338" s="54"/>
    </row>
    <row r="339" spans="1:32" ht="30">
      <c r="A339" s="144">
        <v>323</v>
      </c>
      <c r="B339" s="298" t="s">
        <v>385</v>
      </c>
      <c r="C339" s="34" t="s">
        <v>153</v>
      </c>
      <c r="D339" s="34" t="s">
        <v>128</v>
      </c>
      <c r="E339" s="34">
        <v>8510002890</v>
      </c>
      <c r="F339" s="144"/>
      <c r="G339" s="134">
        <f t="shared" ref="G339:H339" si="172">G340+G342</f>
        <v>1191200</v>
      </c>
      <c r="H339" s="134">
        <f t="shared" si="172"/>
        <v>1106800</v>
      </c>
      <c r="I339" s="29">
        <f t="shared" ref="I339" si="173">I340+I342</f>
        <v>1106800</v>
      </c>
      <c r="M339" s="256"/>
      <c r="N339" s="256"/>
      <c r="O339" s="256"/>
      <c r="P339" s="330"/>
      <c r="AE339" s="54"/>
      <c r="AF339" s="54"/>
    </row>
    <row r="340" spans="1:32" ht="45">
      <c r="A340" s="144">
        <v>324</v>
      </c>
      <c r="B340" s="143" t="s">
        <v>15</v>
      </c>
      <c r="C340" s="34" t="s">
        <v>153</v>
      </c>
      <c r="D340" s="34" t="s">
        <v>128</v>
      </c>
      <c r="E340" s="34">
        <v>8510002890</v>
      </c>
      <c r="F340" s="144">
        <v>100</v>
      </c>
      <c r="G340" s="134">
        <f t="shared" ref="G340:I340" si="174">G341</f>
        <v>1042738.06</v>
      </c>
      <c r="H340" s="134">
        <f t="shared" si="174"/>
        <v>958338.06</v>
      </c>
      <c r="I340" s="29">
        <f t="shared" si="174"/>
        <v>958338.06</v>
      </c>
      <c r="M340" s="256"/>
      <c r="N340" s="256"/>
      <c r="O340" s="256"/>
      <c r="P340" s="330"/>
      <c r="AE340" s="54"/>
      <c r="AF340" s="54"/>
    </row>
    <row r="341" spans="1:32">
      <c r="A341" s="144">
        <v>325</v>
      </c>
      <c r="B341" s="143" t="s">
        <v>16</v>
      </c>
      <c r="C341" s="34" t="s">
        <v>153</v>
      </c>
      <c r="D341" s="34" t="s">
        <v>128</v>
      </c>
      <c r="E341" s="34">
        <v>8510002890</v>
      </c>
      <c r="F341" s="144">
        <v>120</v>
      </c>
      <c r="G341" s="134">
        <f>958338.06+84400</f>
        <v>1042738.06</v>
      </c>
      <c r="H341" s="134">
        <v>958338.06</v>
      </c>
      <c r="I341" s="157">
        <v>958338.06</v>
      </c>
      <c r="M341" s="256"/>
      <c r="N341" s="256"/>
      <c r="O341" s="256"/>
      <c r="P341" s="330"/>
      <c r="AE341" s="54"/>
      <c r="AF341" s="54"/>
    </row>
    <row r="342" spans="1:32">
      <c r="A342" s="144">
        <v>326</v>
      </c>
      <c r="B342" s="143" t="s">
        <v>20</v>
      </c>
      <c r="C342" s="34" t="s">
        <v>153</v>
      </c>
      <c r="D342" s="34" t="s">
        <v>128</v>
      </c>
      <c r="E342" s="34">
        <v>8510002890</v>
      </c>
      <c r="F342" s="144">
        <v>200</v>
      </c>
      <c r="G342" s="134">
        <f t="shared" ref="G342:I342" si="175">G343</f>
        <v>148461.94</v>
      </c>
      <c r="H342" s="134">
        <f t="shared" si="175"/>
        <v>148461.94</v>
      </c>
      <c r="I342" s="29">
        <f t="shared" si="175"/>
        <v>148461.94</v>
      </c>
      <c r="M342" s="256"/>
      <c r="N342" s="256"/>
      <c r="O342" s="256"/>
      <c r="P342" s="330"/>
      <c r="AE342" s="54"/>
      <c r="AF342" s="54"/>
    </row>
    <row r="343" spans="1:32">
      <c r="A343" s="144">
        <v>327</v>
      </c>
      <c r="B343" s="143" t="s">
        <v>21</v>
      </c>
      <c r="C343" s="34" t="s">
        <v>153</v>
      </c>
      <c r="D343" s="34" t="s">
        <v>128</v>
      </c>
      <c r="E343" s="34">
        <v>8510002890</v>
      </c>
      <c r="F343" s="144">
        <v>240</v>
      </c>
      <c r="G343" s="134">
        <v>148461.94</v>
      </c>
      <c r="H343" s="134">
        <v>148461.94</v>
      </c>
      <c r="I343" s="157">
        <v>148461.94</v>
      </c>
      <c r="M343" s="256"/>
      <c r="N343" s="256"/>
      <c r="O343" s="256"/>
      <c r="P343" s="330"/>
      <c r="AE343" s="54"/>
      <c r="AF343" s="54"/>
    </row>
    <row r="344" spans="1:32" ht="84" customHeight="1">
      <c r="A344" s="144">
        <v>328</v>
      </c>
      <c r="B344" s="143" t="s">
        <v>455</v>
      </c>
      <c r="C344" s="34" t="s">
        <v>153</v>
      </c>
      <c r="D344" s="34" t="s">
        <v>128</v>
      </c>
      <c r="E344" s="34">
        <v>8510078460</v>
      </c>
      <c r="F344" s="144"/>
      <c r="G344" s="134">
        <f>G345+G347</f>
        <v>57800</v>
      </c>
      <c r="H344" s="134">
        <f t="shared" ref="H344:I344" si="176">H345+H347</f>
        <v>53200</v>
      </c>
      <c r="I344" s="29">
        <f t="shared" si="176"/>
        <v>53200</v>
      </c>
      <c r="M344" s="256"/>
      <c r="N344" s="256"/>
      <c r="O344" s="256"/>
      <c r="P344" s="330"/>
      <c r="AE344" s="54"/>
      <c r="AF344" s="54"/>
    </row>
    <row r="345" spans="1:32" ht="45">
      <c r="A345" s="144">
        <v>329</v>
      </c>
      <c r="B345" s="143" t="s">
        <v>15</v>
      </c>
      <c r="C345" s="34" t="s">
        <v>153</v>
      </c>
      <c r="D345" s="34" t="s">
        <v>128</v>
      </c>
      <c r="E345" s="34">
        <v>8510078460</v>
      </c>
      <c r="F345" s="144">
        <v>100</v>
      </c>
      <c r="G345" s="134">
        <f>G346</f>
        <v>56351</v>
      </c>
      <c r="H345" s="134">
        <f t="shared" ref="H345:I345" si="177">H346</f>
        <v>51751</v>
      </c>
      <c r="I345" s="29">
        <f t="shared" si="177"/>
        <v>51751</v>
      </c>
      <c r="M345" s="256"/>
      <c r="N345" s="256"/>
      <c r="O345" s="256"/>
      <c r="P345" s="330"/>
      <c r="AE345" s="54"/>
      <c r="AF345" s="54"/>
    </row>
    <row r="346" spans="1:32">
      <c r="A346" s="144">
        <v>330</v>
      </c>
      <c r="B346" s="143" t="s">
        <v>16</v>
      </c>
      <c r="C346" s="34" t="s">
        <v>153</v>
      </c>
      <c r="D346" s="34" t="s">
        <v>128</v>
      </c>
      <c r="E346" s="34">
        <v>8510078460</v>
      </c>
      <c r="F346" s="144">
        <v>120</v>
      </c>
      <c r="G346" s="134">
        <f>51751+4600</f>
        <v>56351</v>
      </c>
      <c r="H346" s="134">
        <v>51751</v>
      </c>
      <c r="I346" s="157">
        <v>51751</v>
      </c>
      <c r="M346" s="256"/>
      <c r="N346" s="256"/>
      <c r="O346" s="256"/>
      <c r="P346" s="330"/>
      <c r="AE346" s="54"/>
      <c r="AF346" s="54"/>
    </row>
    <row r="347" spans="1:32">
      <c r="A347" s="144">
        <v>331</v>
      </c>
      <c r="B347" s="143" t="s">
        <v>20</v>
      </c>
      <c r="C347" s="34" t="s">
        <v>153</v>
      </c>
      <c r="D347" s="34" t="s">
        <v>128</v>
      </c>
      <c r="E347" s="34">
        <v>8510078460</v>
      </c>
      <c r="F347" s="144">
        <v>200</v>
      </c>
      <c r="G347" s="134">
        <f>G348</f>
        <v>1449</v>
      </c>
      <c r="H347" s="134">
        <f t="shared" ref="H347:I347" si="178">H348</f>
        <v>1449</v>
      </c>
      <c r="I347" s="29">
        <f t="shared" si="178"/>
        <v>1449</v>
      </c>
      <c r="M347" s="256"/>
      <c r="N347" s="256"/>
      <c r="O347" s="256"/>
      <c r="P347" s="330"/>
      <c r="AE347" s="54"/>
      <c r="AF347" s="54"/>
    </row>
    <row r="348" spans="1:32">
      <c r="A348" s="144">
        <v>332</v>
      </c>
      <c r="B348" s="143" t="s">
        <v>21</v>
      </c>
      <c r="C348" s="34" t="s">
        <v>153</v>
      </c>
      <c r="D348" s="34" t="s">
        <v>128</v>
      </c>
      <c r="E348" s="34">
        <v>8510078460</v>
      </c>
      <c r="F348" s="144">
        <v>240</v>
      </c>
      <c r="G348" s="134">
        <v>1449</v>
      </c>
      <c r="H348" s="134">
        <v>1449</v>
      </c>
      <c r="I348" s="157">
        <v>1449</v>
      </c>
      <c r="M348" s="256"/>
      <c r="N348" s="256"/>
      <c r="O348" s="256"/>
      <c r="P348" s="330"/>
      <c r="AE348" s="54"/>
      <c r="AF348" s="54"/>
    </row>
    <row r="349" spans="1:32">
      <c r="A349" s="144">
        <v>333</v>
      </c>
      <c r="B349" s="297" t="s">
        <v>308</v>
      </c>
      <c r="C349" s="34" t="s">
        <v>153</v>
      </c>
      <c r="D349" s="34" t="s">
        <v>128</v>
      </c>
      <c r="E349" s="34" t="s">
        <v>178</v>
      </c>
      <c r="F349" s="144"/>
      <c r="G349" s="134">
        <f t="shared" ref="G349:I349" si="179">G350</f>
        <v>323640</v>
      </c>
      <c r="H349" s="134">
        <f t="shared" si="179"/>
        <v>607000</v>
      </c>
      <c r="I349" s="29">
        <f t="shared" si="179"/>
        <v>607000</v>
      </c>
      <c r="M349" s="256"/>
      <c r="N349" s="256"/>
      <c r="O349" s="256"/>
      <c r="P349" s="330"/>
      <c r="AE349" s="54"/>
      <c r="AF349" s="54"/>
    </row>
    <row r="350" spans="1:32">
      <c r="A350" s="144">
        <v>334</v>
      </c>
      <c r="B350" s="297" t="s">
        <v>387</v>
      </c>
      <c r="C350" s="34" t="s">
        <v>153</v>
      </c>
      <c r="D350" s="34" t="s">
        <v>128</v>
      </c>
      <c r="E350" s="34" t="s">
        <v>383</v>
      </c>
      <c r="F350" s="144"/>
      <c r="G350" s="134">
        <f t="shared" ref="G350:H350" si="180">G351+G354</f>
        <v>323640</v>
      </c>
      <c r="H350" s="134">
        <f t="shared" si="180"/>
        <v>607000</v>
      </c>
      <c r="I350" s="29">
        <f t="shared" ref="I350" si="181">I351+I354</f>
        <v>607000</v>
      </c>
      <c r="M350" s="256"/>
      <c r="N350" s="256"/>
      <c r="O350" s="256"/>
      <c r="P350" s="330"/>
      <c r="AE350" s="54"/>
      <c r="AF350" s="54"/>
    </row>
    <row r="351" spans="1:32" ht="45">
      <c r="A351" s="144">
        <v>335</v>
      </c>
      <c r="B351" s="299" t="s">
        <v>395</v>
      </c>
      <c r="C351" s="34" t="s">
        <v>153</v>
      </c>
      <c r="D351" s="34" t="s">
        <v>128</v>
      </c>
      <c r="E351" s="34" t="s">
        <v>391</v>
      </c>
      <c r="F351" s="144"/>
      <c r="G351" s="134">
        <f t="shared" ref="G351:I351" si="182">G352</f>
        <v>225000</v>
      </c>
      <c r="H351" s="134">
        <f t="shared" si="182"/>
        <v>500000</v>
      </c>
      <c r="I351" s="29">
        <f t="shared" si="182"/>
        <v>500000</v>
      </c>
      <c r="M351" s="256"/>
      <c r="N351" s="256"/>
      <c r="O351" s="256"/>
      <c r="P351" s="330"/>
      <c r="AE351" s="54"/>
      <c r="AF351" s="54"/>
    </row>
    <row r="352" spans="1:32">
      <c r="A352" s="144">
        <v>336</v>
      </c>
      <c r="B352" s="298" t="s">
        <v>147</v>
      </c>
      <c r="C352" s="34" t="s">
        <v>153</v>
      </c>
      <c r="D352" s="34" t="s">
        <v>128</v>
      </c>
      <c r="E352" s="34" t="s">
        <v>391</v>
      </c>
      <c r="F352" s="144">
        <v>300</v>
      </c>
      <c r="G352" s="134">
        <f t="shared" ref="G352:I352" si="183">G353</f>
        <v>225000</v>
      </c>
      <c r="H352" s="134">
        <f t="shared" si="183"/>
        <v>500000</v>
      </c>
      <c r="I352" s="29">
        <f t="shared" si="183"/>
        <v>500000</v>
      </c>
      <c r="M352" s="256"/>
      <c r="N352" s="256"/>
      <c r="O352" s="256"/>
      <c r="P352" s="330"/>
      <c r="AE352" s="54"/>
      <c r="AF352" s="54"/>
    </row>
    <row r="353" spans="1:32">
      <c r="A353" s="144">
        <v>337</v>
      </c>
      <c r="B353" s="297" t="s">
        <v>390</v>
      </c>
      <c r="C353" s="34" t="s">
        <v>153</v>
      </c>
      <c r="D353" s="34" t="s">
        <v>128</v>
      </c>
      <c r="E353" s="34" t="s">
        <v>391</v>
      </c>
      <c r="F353" s="144">
        <v>310</v>
      </c>
      <c r="G353" s="134">
        <f>500000-275000</f>
        <v>225000</v>
      </c>
      <c r="H353" s="134">
        <v>500000</v>
      </c>
      <c r="I353" s="157">
        <v>500000</v>
      </c>
      <c r="J353" s="335">
        <v>-275000</v>
      </c>
      <c r="M353" s="256"/>
      <c r="N353" s="256"/>
      <c r="O353" s="256"/>
      <c r="P353" s="330"/>
      <c r="AE353" s="54"/>
      <c r="AF353" s="54"/>
    </row>
    <row r="354" spans="1:32" ht="45.75" customHeight="1">
      <c r="A354" s="144">
        <v>338</v>
      </c>
      <c r="B354" s="299" t="s">
        <v>392</v>
      </c>
      <c r="C354" s="34" t="s">
        <v>153</v>
      </c>
      <c r="D354" s="34" t="s">
        <v>128</v>
      </c>
      <c r="E354" s="34" t="s">
        <v>393</v>
      </c>
      <c r="F354" s="144"/>
      <c r="G354" s="134">
        <f t="shared" ref="G354:H354" si="184">G355+G357</f>
        <v>98640</v>
      </c>
      <c r="H354" s="134">
        <f t="shared" si="184"/>
        <v>107000</v>
      </c>
      <c r="I354" s="29">
        <f t="shared" ref="I354" si="185">I355+I357</f>
        <v>107000</v>
      </c>
      <c r="M354" s="256"/>
      <c r="N354" s="256"/>
      <c r="O354" s="256"/>
      <c r="P354" s="330"/>
      <c r="AE354" s="54"/>
      <c r="AF354" s="54"/>
    </row>
    <row r="355" spans="1:32" ht="21" customHeight="1">
      <c r="A355" s="144">
        <v>339</v>
      </c>
      <c r="B355" s="298" t="s">
        <v>147</v>
      </c>
      <c r="C355" s="34" t="s">
        <v>153</v>
      </c>
      <c r="D355" s="34" t="s">
        <v>128</v>
      </c>
      <c r="E355" s="34" t="s">
        <v>393</v>
      </c>
      <c r="F355" s="144">
        <v>300</v>
      </c>
      <c r="G355" s="134">
        <f t="shared" ref="G355:I355" si="186">G356</f>
        <v>92000</v>
      </c>
      <c r="H355" s="134">
        <f t="shared" si="186"/>
        <v>92000</v>
      </c>
      <c r="I355" s="29">
        <f t="shared" si="186"/>
        <v>92000</v>
      </c>
      <c r="M355" s="256"/>
      <c r="N355" s="256"/>
      <c r="O355" s="256"/>
      <c r="P355" s="330"/>
      <c r="AE355" s="54"/>
      <c r="AF355" s="54"/>
    </row>
    <row r="356" spans="1:32">
      <c r="A356" s="144">
        <v>340</v>
      </c>
      <c r="B356" s="297" t="s">
        <v>81</v>
      </c>
      <c r="C356" s="34" t="s">
        <v>153</v>
      </c>
      <c r="D356" s="34" t="s">
        <v>128</v>
      </c>
      <c r="E356" s="34" t="s">
        <v>393</v>
      </c>
      <c r="F356" s="144">
        <v>320</v>
      </c>
      <c r="G356" s="134">
        <v>92000</v>
      </c>
      <c r="H356" s="134">
        <v>92000</v>
      </c>
      <c r="I356" s="29">
        <v>92000</v>
      </c>
      <c r="M356" s="256"/>
      <c r="N356" s="256"/>
      <c r="O356" s="256"/>
      <c r="P356" s="330"/>
      <c r="AE356" s="54"/>
      <c r="AF356" s="54"/>
    </row>
    <row r="357" spans="1:32">
      <c r="A357" s="144">
        <v>341</v>
      </c>
      <c r="B357" s="143" t="s">
        <v>20</v>
      </c>
      <c r="C357" s="34" t="s">
        <v>153</v>
      </c>
      <c r="D357" s="34" t="s">
        <v>128</v>
      </c>
      <c r="E357" s="34" t="s">
        <v>393</v>
      </c>
      <c r="F357" s="144">
        <v>200</v>
      </c>
      <c r="G357" s="134">
        <f t="shared" ref="G357:I357" si="187">G358</f>
        <v>6640</v>
      </c>
      <c r="H357" s="134">
        <f t="shared" si="187"/>
        <v>15000</v>
      </c>
      <c r="I357" s="29">
        <f t="shared" si="187"/>
        <v>15000</v>
      </c>
      <c r="M357" s="256"/>
      <c r="N357" s="256"/>
      <c r="O357" s="256"/>
      <c r="P357" s="330"/>
      <c r="AE357" s="54"/>
      <c r="AF357" s="54"/>
    </row>
    <row r="358" spans="1:32">
      <c r="A358" s="144">
        <v>342</v>
      </c>
      <c r="B358" s="143" t="s">
        <v>21</v>
      </c>
      <c r="C358" s="34" t="s">
        <v>153</v>
      </c>
      <c r="D358" s="34" t="s">
        <v>128</v>
      </c>
      <c r="E358" s="34" t="s">
        <v>393</v>
      </c>
      <c r="F358" s="144">
        <v>240</v>
      </c>
      <c r="G358" s="134">
        <f>15000-8360</f>
        <v>6640</v>
      </c>
      <c r="H358" s="134">
        <v>15000</v>
      </c>
      <c r="I358" s="157">
        <v>15000</v>
      </c>
      <c r="J358" s="335">
        <v>-8360</v>
      </c>
      <c r="M358" s="256"/>
      <c r="N358" s="256"/>
      <c r="O358" s="256"/>
      <c r="P358" s="330"/>
      <c r="AE358" s="54"/>
      <c r="AF358" s="54"/>
    </row>
    <row r="359" spans="1:32" ht="30">
      <c r="A359" s="144">
        <v>343</v>
      </c>
      <c r="B359" s="302" t="s">
        <v>57</v>
      </c>
      <c r="C359" s="34" t="s">
        <v>153</v>
      </c>
      <c r="D359" s="34" t="s">
        <v>128</v>
      </c>
      <c r="E359" s="34" t="s">
        <v>470</v>
      </c>
      <c r="F359" s="144"/>
      <c r="G359" s="134">
        <f>G360</f>
        <v>115434.55</v>
      </c>
      <c r="H359" s="134">
        <f t="shared" ref="H359:I360" si="188">H360</f>
        <v>106020.67</v>
      </c>
      <c r="I359" s="29">
        <f t="shared" si="188"/>
        <v>106000.64</v>
      </c>
      <c r="M359" s="256"/>
      <c r="N359" s="256"/>
      <c r="O359" s="256"/>
      <c r="P359" s="330"/>
      <c r="AE359" s="54"/>
      <c r="AF359" s="54"/>
    </row>
    <row r="360" spans="1:32" ht="30">
      <c r="A360" s="144">
        <v>344</v>
      </c>
      <c r="B360" s="298" t="s">
        <v>154</v>
      </c>
      <c r="C360" s="34" t="s">
        <v>153</v>
      </c>
      <c r="D360" s="34" t="s">
        <v>128</v>
      </c>
      <c r="E360" s="34" t="s">
        <v>471</v>
      </c>
      <c r="F360" s="144"/>
      <c r="G360" s="134">
        <f>G361</f>
        <v>115434.55</v>
      </c>
      <c r="H360" s="134">
        <f t="shared" si="188"/>
        <v>106020.67</v>
      </c>
      <c r="I360" s="29">
        <f t="shared" si="188"/>
        <v>106000.64</v>
      </c>
      <c r="M360" s="256"/>
      <c r="N360" s="256"/>
      <c r="O360" s="256"/>
      <c r="P360" s="330"/>
      <c r="AE360" s="54"/>
      <c r="AF360" s="54"/>
    </row>
    <row r="361" spans="1:32" ht="45">
      <c r="A361" s="144">
        <v>345</v>
      </c>
      <c r="B361" s="298" t="s">
        <v>378</v>
      </c>
      <c r="C361" s="34" t="s">
        <v>153</v>
      </c>
      <c r="D361" s="34" t="s">
        <v>128</v>
      </c>
      <c r="E361" s="34" t="s">
        <v>472</v>
      </c>
      <c r="F361" s="144"/>
      <c r="G361" s="134">
        <f>G362+G364</f>
        <v>115434.55</v>
      </c>
      <c r="H361" s="134">
        <f t="shared" ref="H361:I361" si="189">H362+H364</f>
        <v>106020.67</v>
      </c>
      <c r="I361" s="29">
        <f t="shared" si="189"/>
        <v>106000.64</v>
      </c>
      <c r="M361" s="256"/>
      <c r="N361" s="256"/>
      <c r="O361" s="256"/>
      <c r="P361" s="330"/>
      <c r="AE361" s="54"/>
      <c r="AF361" s="54"/>
    </row>
    <row r="362" spans="1:32" ht="45">
      <c r="A362" s="144">
        <v>346</v>
      </c>
      <c r="B362" s="143" t="s">
        <v>15</v>
      </c>
      <c r="C362" s="34" t="s">
        <v>153</v>
      </c>
      <c r="D362" s="34" t="s">
        <v>128</v>
      </c>
      <c r="E362" s="34" t="s">
        <v>472</v>
      </c>
      <c r="F362" s="144">
        <v>100</v>
      </c>
      <c r="G362" s="134">
        <f>G363</f>
        <v>111742.17</v>
      </c>
      <c r="H362" s="134">
        <f t="shared" ref="H362:I362" si="190">H363</f>
        <v>102542.17</v>
      </c>
      <c r="I362" s="29">
        <f t="shared" si="190"/>
        <v>102542.17</v>
      </c>
      <c r="M362" s="256"/>
      <c r="N362" s="256"/>
      <c r="O362" s="256"/>
      <c r="P362" s="330"/>
      <c r="AE362" s="54"/>
      <c r="AF362" s="54"/>
    </row>
    <row r="363" spans="1:32">
      <c r="A363" s="144">
        <v>347</v>
      </c>
      <c r="B363" s="143" t="s">
        <v>16</v>
      </c>
      <c r="C363" s="34" t="s">
        <v>153</v>
      </c>
      <c r="D363" s="34" t="s">
        <v>128</v>
      </c>
      <c r="E363" s="34" t="s">
        <v>472</v>
      </c>
      <c r="F363" s="144">
        <v>120</v>
      </c>
      <c r="G363" s="134">
        <f>102542.17+9200</f>
        <v>111742.17</v>
      </c>
      <c r="H363" s="134">
        <v>102542.17</v>
      </c>
      <c r="I363" s="157">
        <v>102542.17</v>
      </c>
      <c r="M363" s="256"/>
      <c r="N363" s="256"/>
      <c r="O363" s="256"/>
      <c r="P363" s="330"/>
      <c r="AE363" s="54"/>
      <c r="AF363" s="54"/>
    </row>
    <row r="364" spans="1:32">
      <c r="A364" s="144">
        <v>348</v>
      </c>
      <c r="B364" s="143" t="s">
        <v>20</v>
      </c>
      <c r="C364" s="34" t="s">
        <v>153</v>
      </c>
      <c r="D364" s="34" t="s">
        <v>128</v>
      </c>
      <c r="E364" s="34" t="s">
        <v>472</v>
      </c>
      <c r="F364" s="144">
        <v>200</v>
      </c>
      <c r="G364" s="134">
        <f>G365</f>
        <v>3692.38</v>
      </c>
      <c r="H364" s="134">
        <f t="shared" ref="H364:I364" si="191">H365</f>
        <v>3478.5</v>
      </c>
      <c r="I364" s="29">
        <f t="shared" si="191"/>
        <v>3458.47</v>
      </c>
      <c r="M364" s="256"/>
      <c r="N364" s="256"/>
      <c r="O364" s="256"/>
      <c r="P364" s="330"/>
      <c r="AE364" s="54"/>
      <c r="AF364" s="54"/>
    </row>
    <row r="365" spans="1:32">
      <c r="A365" s="144">
        <v>349</v>
      </c>
      <c r="B365" s="143" t="s">
        <v>21</v>
      </c>
      <c r="C365" s="34" t="s">
        <v>153</v>
      </c>
      <c r="D365" s="34" t="s">
        <v>128</v>
      </c>
      <c r="E365" s="34" t="s">
        <v>472</v>
      </c>
      <c r="F365" s="144">
        <v>240</v>
      </c>
      <c r="G365" s="134">
        <f>3657.83+34.55</f>
        <v>3692.38</v>
      </c>
      <c r="H365" s="134">
        <f>3657.83-200+20.67</f>
        <v>3478.5</v>
      </c>
      <c r="I365" s="157">
        <f>3657.83-200+0.64</f>
        <v>3458.47</v>
      </c>
      <c r="J365" s="254"/>
      <c r="K365" s="254"/>
      <c r="L365" s="254"/>
      <c r="M365" s="256"/>
      <c r="N365" s="256"/>
      <c r="O365" s="256"/>
      <c r="P365" s="330"/>
      <c r="AE365" s="54"/>
      <c r="AF365" s="54"/>
    </row>
    <row r="366" spans="1:32" ht="36" customHeight="1">
      <c r="A366" s="144">
        <v>350</v>
      </c>
      <c r="B366" s="312" t="s">
        <v>232</v>
      </c>
      <c r="C366" s="34" t="s">
        <v>153</v>
      </c>
      <c r="D366" s="295"/>
      <c r="E366" s="294"/>
      <c r="F366" s="295"/>
      <c r="G366" s="296">
        <f t="shared" ref="G366:I369" si="192">G367</f>
        <v>7569730.1600000001</v>
      </c>
      <c r="H366" s="296">
        <f t="shared" si="192"/>
        <v>6865681.1600000001</v>
      </c>
      <c r="I366" s="46">
        <f t="shared" si="192"/>
        <v>6865681.1600000001</v>
      </c>
      <c r="M366" s="256"/>
      <c r="N366" s="256"/>
      <c r="O366" s="256"/>
      <c r="P366" s="330"/>
      <c r="AE366" s="54"/>
      <c r="AF366" s="54"/>
    </row>
    <row r="367" spans="1:32">
      <c r="A367" s="144">
        <v>351</v>
      </c>
      <c r="B367" s="308" t="s">
        <v>98</v>
      </c>
      <c r="C367" s="34" t="s">
        <v>153</v>
      </c>
      <c r="D367" s="34" t="s">
        <v>99</v>
      </c>
      <c r="E367" s="34"/>
      <c r="F367" s="144"/>
      <c r="G367" s="134">
        <f t="shared" si="192"/>
        <v>7569730.1600000001</v>
      </c>
      <c r="H367" s="134">
        <f t="shared" si="192"/>
        <v>6865681.1600000001</v>
      </c>
      <c r="I367" s="29">
        <f t="shared" si="192"/>
        <v>6865681.1600000001</v>
      </c>
      <c r="M367" s="256"/>
      <c r="N367" s="256"/>
      <c r="O367" s="256"/>
      <c r="P367" s="330"/>
      <c r="AE367" s="54"/>
      <c r="AF367" s="54"/>
    </row>
    <row r="368" spans="1:32" ht="30">
      <c r="A368" s="144">
        <v>352</v>
      </c>
      <c r="B368" s="143" t="s">
        <v>74</v>
      </c>
      <c r="C368" s="34" t="s">
        <v>153</v>
      </c>
      <c r="D368" s="34" t="s">
        <v>379</v>
      </c>
      <c r="E368" s="34"/>
      <c r="F368" s="144"/>
      <c r="G368" s="134">
        <f t="shared" si="192"/>
        <v>7569730.1600000001</v>
      </c>
      <c r="H368" s="134">
        <f t="shared" si="192"/>
        <v>6865681.1600000001</v>
      </c>
      <c r="I368" s="29">
        <f t="shared" si="192"/>
        <v>6865681.1600000001</v>
      </c>
      <c r="M368" s="256"/>
      <c r="N368" s="256"/>
      <c r="O368" s="256"/>
      <c r="P368" s="330"/>
      <c r="AE368" s="54"/>
      <c r="AF368" s="54"/>
    </row>
    <row r="369" spans="1:32" ht="30">
      <c r="A369" s="144">
        <v>353</v>
      </c>
      <c r="B369" s="298" t="s">
        <v>148</v>
      </c>
      <c r="C369" s="34" t="s">
        <v>153</v>
      </c>
      <c r="D369" s="34" t="s">
        <v>379</v>
      </c>
      <c r="E369" s="34" t="s">
        <v>187</v>
      </c>
      <c r="F369" s="144"/>
      <c r="G369" s="134">
        <f t="shared" si="192"/>
        <v>7569730.1600000001</v>
      </c>
      <c r="H369" s="134">
        <f t="shared" si="192"/>
        <v>6865681.1600000001</v>
      </c>
      <c r="I369" s="29">
        <f t="shared" si="192"/>
        <v>6865681.1600000001</v>
      </c>
      <c r="M369" s="256"/>
      <c r="N369" s="256"/>
      <c r="O369" s="256"/>
      <c r="P369" s="330"/>
      <c r="AE369" s="54"/>
      <c r="AF369" s="54"/>
    </row>
    <row r="370" spans="1:32" ht="30">
      <c r="A370" s="144">
        <v>354</v>
      </c>
      <c r="B370" s="313" t="s">
        <v>294</v>
      </c>
      <c r="C370" s="34" t="s">
        <v>153</v>
      </c>
      <c r="D370" s="34" t="s">
        <v>379</v>
      </c>
      <c r="E370" s="34" t="s">
        <v>188</v>
      </c>
      <c r="F370" s="144"/>
      <c r="G370" s="134">
        <f>G371+G378</f>
        <v>7569730.1600000001</v>
      </c>
      <c r="H370" s="134">
        <f t="shared" ref="H370:I370" si="193">H371+H378</f>
        <v>6865681.1600000001</v>
      </c>
      <c r="I370" s="29">
        <f t="shared" si="193"/>
        <v>6865681.1600000001</v>
      </c>
      <c r="M370" s="256"/>
      <c r="N370" s="256"/>
      <c r="O370" s="256"/>
      <c r="P370" s="330"/>
      <c r="AE370" s="54"/>
      <c r="AF370" s="54"/>
    </row>
    <row r="371" spans="1:32" ht="60">
      <c r="A371" s="144">
        <v>355</v>
      </c>
      <c r="B371" s="298" t="s">
        <v>330</v>
      </c>
      <c r="C371" s="34" t="s">
        <v>153</v>
      </c>
      <c r="D371" s="34" t="s">
        <v>379</v>
      </c>
      <c r="E371" s="34" t="s">
        <v>288</v>
      </c>
      <c r="F371" s="144"/>
      <c r="G371" s="134">
        <f t="shared" ref="G371:I371" si="194">G372+G374+G376</f>
        <v>7559730.1600000001</v>
      </c>
      <c r="H371" s="134">
        <f t="shared" si="194"/>
        <v>6865681.1600000001</v>
      </c>
      <c r="I371" s="29">
        <f t="shared" si="194"/>
        <v>6865681.1600000001</v>
      </c>
      <c r="M371" s="256"/>
      <c r="N371" s="256"/>
      <c r="O371" s="256"/>
      <c r="P371" s="330"/>
      <c r="AE371" s="54"/>
      <c r="AF371" s="54"/>
    </row>
    <row r="372" spans="1:32" ht="45">
      <c r="A372" s="144">
        <v>356</v>
      </c>
      <c r="B372" s="143" t="s">
        <v>15</v>
      </c>
      <c r="C372" s="34" t="s">
        <v>153</v>
      </c>
      <c r="D372" s="34" t="s">
        <v>379</v>
      </c>
      <c r="E372" s="34" t="s">
        <v>288</v>
      </c>
      <c r="F372" s="144">
        <v>100</v>
      </c>
      <c r="G372" s="134">
        <f t="shared" ref="G372:I372" si="195">G373</f>
        <v>6698990.1600000001</v>
      </c>
      <c r="H372" s="134">
        <f t="shared" si="195"/>
        <v>6002941.1600000001</v>
      </c>
      <c r="I372" s="29">
        <f t="shared" si="195"/>
        <v>6002941.1600000001</v>
      </c>
      <c r="M372" s="256"/>
      <c r="N372" s="256"/>
      <c r="O372" s="256"/>
      <c r="P372" s="330"/>
      <c r="AE372" s="54"/>
      <c r="AF372" s="54"/>
    </row>
    <row r="373" spans="1:32">
      <c r="A373" s="144">
        <v>357</v>
      </c>
      <c r="B373" s="143" t="s">
        <v>63</v>
      </c>
      <c r="C373" s="34" t="s">
        <v>153</v>
      </c>
      <c r="D373" s="34" t="s">
        <v>379</v>
      </c>
      <c r="E373" s="34" t="s">
        <v>288</v>
      </c>
      <c r="F373" s="144">
        <v>110</v>
      </c>
      <c r="G373" s="134">
        <f>6002941.16+696049</f>
        <v>6698990.1600000001</v>
      </c>
      <c r="H373" s="134">
        <v>6002941.1600000001</v>
      </c>
      <c r="I373" s="157">
        <v>6002941.1600000001</v>
      </c>
      <c r="M373" s="256"/>
      <c r="N373" s="256"/>
      <c r="O373" s="256"/>
      <c r="P373" s="330"/>
      <c r="AE373" s="54"/>
      <c r="AF373" s="54"/>
    </row>
    <row r="374" spans="1:32">
      <c r="A374" s="144">
        <v>358</v>
      </c>
      <c r="B374" s="143" t="s">
        <v>20</v>
      </c>
      <c r="C374" s="34" t="s">
        <v>153</v>
      </c>
      <c r="D374" s="34" t="s">
        <v>379</v>
      </c>
      <c r="E374" s="34" t="s">
        <v>288</v>
      </c>
      <c r="F374" s="144">
        <v>200</v>
      </c>
      <c r="G374" s="134">
        <f t="shared" ref="G374:I374" si="196">G375</f>
        <v>860240</v>
      </c>
      <c r="H374" s="134">
        <f t="shared" si="196"/>
        <v>862240</v>
      </c>
      <c r="I374" s="29">
        <f t="shared" si="196"/>
        <v>862240</v>
      </c>
      <c r="M374" s="256"/>
      <c r="N374" s="256"/>
      <c r="O374" s="256"/>
      <c r="P374" s="330"/>
      <c r="AE374" s="54"/>
      <c r="AF374" s="54"/>
    </row>
    <row r="375" spans="1:32">
      <c r="A375" s="144">
        <v>359</v>
      </c>
      <c r="B375" s="143" t="s">
        <v>21</v>
      </c>
      <c r="C375" s="34" t="s">
        <v>153</v>
      </c>
      <c r="D375" s="34" t="s">
        <v>379</v>
      </c>
      <c r="E375" s="34" t="s">
        <v>288</v>
      </c>
      <c r="F375" s="144">
        <v>240</v>
      </c>
      <c r="G375" s="134">
        <f>862240-410-1590</f>
        <v>860240</v>
      </c>
      <c r="H375" s="134">
        <v>862240</v>
      </c>
      <c r="I375" s="157">
        <v>862240</v>
      </c>
      <c r="J375" s="254"/>
      <c r="M375" s="256"/>
      <c r="N375" s="256"/>
      <c r="O375" s="256"/>
      <c r="P375" s="330"/>
      <c r="AE375" s="54"/>
      <c r="AF375" s="54"/>
    </row>
    <row r="376" spans="1:32">
      <c r="A376" s="144">
        <v>360</v>
      </c>
      <c r="B376" s="143" t="s">
        <v>32</v>
      </c>
      <c r="C376" s="34" t="s">
        <v>153</v>
      </c>
      <c r="D376" s="34" t="s">
        <v>379</v>
      </c>
      <c r="E376" s="34" t="s">
        <v>288</v>
      </c>
      <c r="F376" s="144">
        <v>800</v>
      </c>
      <c r="G376" s="134">
        <f t="shared" ref="G376" si="197">G377</f>
        <v>500</v>
      </c>
      <c r="H376" s="134">
        <f t="shared" ref="H376:I376" si="198">H377</f>
        <v>500</v>
      </c>
      <c r="I376" s="29">
        <f t="shared" si="198"/>
        <v>500</v>
      </c>
      <c r="M376" s="256"/>
      <c r="N376" s="256"/>
      <c r="O376" s="256"/>
      <c r="P376" s="330"/>
      <c r="AE376" s="54"/>
      <c r="AF376" s="54"/>
    </row>
    <row r="377" spans="1:32">
      <c r="A377" s="144">
        <v>361</v>
      </c>
      <c r="B377" s="143" t="s">
        <v>80</v>
      </c>
      <c r="C377" s="34" t="s">
        <v>153</v>
      </c>
      <c r="D377" s="34" t="s">
        <v>379</v>
      </c>
      <c r="E377" s="34" t="s">
        <v>288</v>
      </c>
      <c r="F377" s="144">
        <v>850</v>
      </c>
      <c r="G377" s="134">
        <v>500</v>
      </c>
      <c r="H377" s="134">
        <v>500</v>
      </c>
      <c r="I377" s="157">
        <v>500</v>
      </c>
      <c r="M377" s="256"/>
      <c r="N377" s="256"/>
      <c r="O377" s="256"/>
      <c r="P377" s="330"/>
      <c r="AE377" s="54"/>
      <c r="AF377" s="54"/>
    </row>
    <row r="378" spans="1:32" s="54" customFormat="1">
      <c r="A378" s="144">
        <v>362</v>
      </c>
      <c r="B378" s="299" t="s">
        <v>289</v>
      </c>
      <c r="C378" s="34" t="s">
        <v>153</v>
      </c>
      <c r="D378" s="34" t="s">
        <v>379</v>
      </c>
      <c r="E378" s="34" t="s">
        <v>290</v>
      </c>
      <c r="F378" s="144"/>
      <c r="G378" s="134">
        <f t="shared" ref="G378:I379" si="199">G379</f>
        <v>10000</v>
      </c>
      <c r="H378" s="134">
        <f t="shared" si="199"/>
        <v>0</v>
      </c>
      <c r="I378" s="29">
        <f t="shared" si="199"/>
        <v>0</v>
      </c>
      <c r="M378" s="256"/>
      <c r="N378" s="256"/>
      <c r="O378" s="256"/>
      <c r="P378" s="330"/>
    </row>
    <row r="379" spans="1:32" s="54" customFormat="1">
      <c r="A379" s="144">
        <v>363</v>
      </c>
      <c r="B379" s="143" t="s">
        <v>20</v>
      </c>
      <c r="C379" s="34" t="s">
        <v>153</v>
      </c>
      <c r="D379" s="34" t="s">
        <v>379</v>
      </c>
      <c r="E379" s="34" t="s">
        <v>290</v>
      </c>
      <c r="F379" s="144">
        <v>200</v>
      </c>
      <c r="G379" s="134">
        <f t="shared" si="199"/>
        <v>10000</v>
      </c>
      <c r="H379" s="134">
        <f t="shared" si="199"/>
        <v>0</v>
      </c>
      <c r="I379" s="29">
        <f t="shared" si="199"/>
        <v>0</v>
      </c>
      <c r="M379" s="256"/>
      <c r="N379" s="256"/>
      <c r="O379" s="256"/>
      <c r="P379" s="330"/>
    </row>
    <row r="380" spans="1:32" s="54" customFormat="1">
      <c r="A380" s="144">
        <v>364</v>
      </c>
      <c r="B380" s="143" t="s">
        <v>21</v>
      </c>
      <c r="C380" s="34" t="s">
        <v>153</v>
      </c>
      <c r="D380" s="34" t="s">
        <v>379</v>
      </c>
      <c r="E380" s="34" t="s">
        <v>290</v>
      </c>
      <c r="F380" s="144">
        <v>240</v>
      </c>
      <c r="G380" s="134">
        <f>1000+2000+7000</f>
        <v>10000</v>
      </c>
      <c r="H380" s="134">
        <v>0</v>
      </c>
      <c r="I380" s="29">
        <v>0</v>
      </c>
      <c r="J380" s="258">
        <v>7000</v>
      </c>
      <c r="M380" s="256"/>
      <c r="N380" s="256"/>
      <c r="O380" s="256"/>
      <c r="P380" s="330"/>
    </row>
    <row r="381" spans="1:32" ht="28.5">
      <c r="A381" s="144">
        <v>365</v>
      </c>
      <c r="B381" s="312" t="s">
        <v>233</v>
      </c>
      <c r="C381" s="34" t="s">
        <v>153</v>
      </c>
      <c r="D381" s="144"/>
      <c r="E381" s="34"/>
      <c r="F381" s="144"/>
      <c r="G381" s="296">
        <f t="shared" ref="G381:I381" si="200">G382</f>
        <v>3236229.2199999997</v>
      </c>
      <c r="H381" s="296">
        <f t="shared" si="200"/>
        <v>3036332.7199999997</v>
      </c>
      <c r="I381" s="46">
        <f t="shared" si="200"/>
        <v>3036332.7199999997</v>
      </c>
      <c r="M381" s="256"/>
      <c r="N381" s="256"/>
      <c r="O381" s="256"/>
      <c r="P381" s="330"/>
      <c r="AE381" s="54"/>
      <c r="AF381" s="54"/>
    </row>
    <row r="382" spans="1:32">
      <c r="A382" s="144">
        <v>366</v>
      </c>
      <c r="B382" s="297" t="s">
        <v>85</v>
      </c>
      <c r="C382" s="34" t="s">
        <v>153</v>
      </c>
      <c r="D382" s="34" t="s">
        <v>86</v>
      </c>
      <c r="E382" s="34"/>
      <c r="F382" s="144"/>
      <c r="G382" s="134">
        <f t="shared" ref="G382:I382" si="201">G383</f>
        <v>3236229.2199999997</v>
      </c>
      <c r="H382" s="134">
        <f t="shared" si="201"/>
        <v>3036332.7199999997</v>
      </c>
      <c r="I382" s="29">
        <f t="shared" si="201"/>
        <v>3036332.7199999997</v>
      </c>
      <c r="M382" s="256"/>
      <c r="N382" s="256"/>
      <c r="O382" s="256"/>
      <c r="P382" s="330"/>
      <c r="AE382" s="54"/>
      <c r="AF382" s="54"/>
    </row>
    <row r="383" spans="1:32">
      <c r="A383" s="144">
        <v>367</v>
      </c>
      <c r="B383" s="298" t="s">
        <v>60</v>
      </c>
      <c r="C383" s="34" t="s">
        <v>153</v>
      </c>
      <c r="D383" s="34" t="s">
        <v>94</v>
      </c>
      <c r="E383" s="34"/>
      <c r="F383" s="144"/>
      <c r="G383" s="134">
        <f t="shared" ref="G383:I383" si="202">G384</f>
        <v>3236229.2199999997</v>
      </c>
      <c r="H383" s="134">
        <f t="shared" si="202"/>
        <v>3036332.7199999997</v>
      </c>
      <c r="I383" s="29">
        <f t="shared" si="202"/>
        <v>3036332.7199999997</v>
      </c>
      <c r="M383" s="256"/>
      <c r="N383" s="256"/>
      <c r="O383" s="256"/>
      <c r="P383" s="330"/>
      <c r="AE383" s="54"/>
      <c r="AF383" s="54"/>
    </row>
    <row r="384" spans="1:32">
      <c r="A384" s="144">
        <v>368</v>
      </c>
      <c r="B384" s="298" t="s">
        <v>328</v>
      </c>
      <c r="C384" s="34" t="s">
        <v>153</v>
      </c>
      <c r="D384" s="34" t="s">
        <v>94</v>
      </c>
      <c r="E384" s="34" t="s">
        <v>189</v>
      </c>
      <c r="F384" s="144"/>
      <c r="G384" s="134">
        <f t="shared" ref="G384:I384" si="203">G385</f>
        <v>3236229.2199999997</v>
      </c>
      <c r="H384" s="134">
        <f t="shared" si="203"/>
        <v>3036332.7199999997</v>
      </c>
      <c r="I384" s="29">
        <f t="shared" si="203"/>
        <v>3036332.7199999997</v>
      </c>
      <c r="M384" s="256"/>
      <c r="N384" s="256"/>
      <c r="O384" s="256"/>
      <c r="P384" s="330"/>
      <c r="AE384" s="54"/>
      <c r="AF384" s="54"/>
    </row>
    <row r="385" spans="1:32">
      <c r="A385" s="144">
        <v>369</v>
      </c>
      <c r="B385" s="298" t="s">
        <v>61</v>
      </c>
      <c r="C385" s="34" t="s">
        <v>153</v>
      </c>
      <c r="D385" s="34" t="s">
        <v>94</v>
      </c>
      <c r="E385" s="34" t="s">
        <v>190</v>
      </c>
      <c r="F385" s="144"/>
      <c r="G385" s="134">
        <f>G386+G393</f>
        <v>3236229.2199999997</v>
      </c>
      <c r="H385" s="134">
        <f t="shared" ref="H385:I385" si="204">H386+H393</f>
        <v>3036332.7199999997</v>
      </c>
      <c r="I385" s="29">
        <f t="shared" si="204"/>
        <v>3036332.7199999997</v>
      </c>
      <c r="M385" s="256"/>
      <c r="N385" s="256"/>
      <c r="O385" s="256"/>
      <c r="P385" s="330"/>
      <c r="AE385" s="54"/>
      <c r="AF385" s="54"/>
    </row>
    <row r="386" spans="1:32" ht="45">
      <c r="A386" s="144">
        <v>370</v>
      </c>
      <c r="B386" s="298" t="s">
        <v>329</v>
      </c>
      <c r="C386" s="34" t="s">
        <v>153</v>
      </c>
      <c r="D386" s="34" t="s">
        <v>94</v>
      </c>
      <c r="E386" s="34" t="s">
        <v>191</v>
      </c>
      <c r="F386" s="144"/>
      <c r="G386" s="134">
        <f t="shared" ref="G386:H386" si="205">G387+G389+G391</f>
        <v>2814829.2199999997</v>
      </c>
      <c r="H386" s="134">
        <f t="shared" si="205"/>
        <v>2673732.7199999997</v>
      </c>
      <c r="I386" s="29">
        <f t="shared" ref="I386" si="206">I387+I389+I391</f>
        <v>2673732.7199999997</v>
      </c>
      <c r="M386" s="256"/>
      <c r="N386" s="256"/>
      <c r="O386" s="256"/>
      <c r="P386" s="330"/>
      <c r="AE386" s="54"/>
      <c r="AF386" s="54"/>
    </row>
    <row r="387" spans="1:32" ht="45">
      <c r="A387" s="144">
        <v>371</v>
      </c>
      <c r="B387" s="143" t="s">
        <v>15</v>
      </c>
      <c r="C387" s="34" t="s">
        <v>153</v>
      </c>
      <c r="D387" s="34" t="s">
        <v>94</v>
      </c>
      <c r="E387" s="34" t="s">
        <v>191</v>
      </c>
      <c r="F387" s="144">
        <v>100</v>
      </c>
      <c r="G387" s="134">
        <f t="shared" ref="G387:I387" si="207">G388</f>
        <v>2126274.2199999997</v>
      </c>
      <c r="H387" s="134">
        <f t="shared" si="207"/>
        <v>1985177.72</v>
      </c>
      <c r="I387" s="29">
        <f t="shared" si="207"/>
        <v>1985177.72</v>
      </c>
      <c r="M387" s="256"/>
      <c r="N387" s="256"/>
      <c r="O387" s="256"/>
      <c r="P387" s="330"/>
      <c r="AE387" s="54"/>
      <c r="AF387" s="54"/>
    </row>
    <row r="388" spans="1:32">
      <c r="A388" s="144">
        <v>372</v>
      </c>
      <c r="B388" s="143" t="s">
        <v>63</v>
      </c>
      <c r="C388" s="34" t="s">
        <v>153</v>
      </c>
      <c r="D388" s="34" t="s">
        <v>94</v>
      </c>
      <c r="E388" s="34" t="s">
        <v>191</v>
      </c>
      <c r="F388" s="144">
        <v>110</v>
      </c>
      <c r="G388" s="134">
        <f>1985177.22+191097-50000</f>
        <v>2126274.2199999997</v>
      </c>
      <c r="H388" s="134">
        <v>1985177.72</v>
      </c>
      <c r="I388" s="157">
        <v>1985177.72</v>
      </c>
      <c r="J388" s="335">
        <v>-50000</v>
      </c>
      <c r="M388" s="256"/>
      <c r="N388" s="256"/>
      <c r="O388" s="256"/>
      <c r="P388" s="330"/>
      <c r="AE388" s="54"/>
      <c r="AF388" s="54"/>
    </row>
    <row r="389" spans="1:32">
      <c r="A389" s="144">
        <v>373</v>
      </c>
      <c r="B389" s="143" t="s">
        <v>20</v>
      </c>
      <c r="C389" s="34" t="s">
        <v>153</v>
      </c>
      <c r="D389" s="34" t="s">
        <v>94</v>
      </c>
      <c r="E389" s="34" t="s">
        <v>191</v>
      </c>
      <c r="F389" s="144">
        <v>200</v>
      </c>
      <c r="G389" s="134">
        <f t="shared" ref="G389" si="208">G390</f>
        <v>688055</v>
      </c>
      <c r="H389" s="134">
        <f t="shared" ref="H389:I389" si="209">H390</f>
        <v>688055</v>
      </c>
      <c r="I389" s="29">
        <f t="shared" si="209"/>
        <v>688055</v>
      </c>
      <c r="M389" s="256"/>
      <c r="N389" s="256"/>
      <c r="O389" s="256"/>
      <c r="P389" s="330"/>
      <c r="AE389" s="54"/>
      <c r="AF389" s="54"/>
    </row>
    <row r="390" spans="1:32">
      <c r="A390" s="144">
        <v>374</v>
      </c>
      <c r="B390" s="143" t="s">
        <v>21</v>
      </c>
      <c r="C390" s="34" t="s">
        <v>153</v>
      </c>
      <c r="D390" s="34" t="s">
        <v>94</v>
      </c>
      <c r="E390" s="34" t="s">
        <v>191</v>
      </c>
      <c r="F390" s="144">
        <v>240</v>
      </c>
      <c r="G390" s="134">
        <v>688055</v>
      </c>
      <c r="H390" s="134">
        <v>688055</v>
      </c>
      <c r="I390" s="157">
        <v>688055</v>
      </c>
      <c r="M390" s="256"/>
      <c r="N390" s="256"/>
      <c r="O390" s="256"/>
      <c r="P390" s="330"/>
      <c r="AE390" s="54"/>
      <c r="AF390" s="54"/>
    </row>
    <row r="391" spans="1:32">
      <c r="A391" s="144">
        <v>375</v>
      </c>
      <c r="B391" s="143" t="s">
        <v>32</v>
      </c>
      <c r="C391" s="34" t="s">
        <v>153</v>
      </c>
      <c r="D391" s="34" t="s">
        <v>94</v>
      </c>
      <c r="E391" s="34" t="s">
        <v>191</v>
      </c>
      <c r="F391" s="144">
        <v>800</v>
      </c>
      <c r="G391" s="134">
        <f t="shared" ref="G391" si="210">G392</f>
        <v>500</v>
      </c>
      <c r="H391" s="134">
        <f t="shared" ref="H391:I391" si="211">H392</f>
        <v>500</v>
      </c>
      <c r="I391" s="29">
        <f t="shared" si="211"/>
        <v>500</v>
      </c>
      <c r="M391" s="256"/>
      <c r="N391" s="256"/>
      <c r="O391" s="256"/>
      <c r="P391" s="330"/>
      <c r="AE391" s="54"/>
      <c r="AF391" s="54"/>
    </row>
    <row r="392" spans="1:32">
      <c r="A392" s="144">
        <v>376</v>
      </c>
      <c r="B392" s="143" t="s">
        <v>80</v>
      </c>
      <c r="C392" s="34" t="s">
        <v>153</v>
      </c>
      <c r="D392" s="34" t="s">
        <v>94</v>
      </c>
      <c r="E392" s="34" t="s">
        <v>191</v>
      </c>
      <c r="F392" s="144">
        <v>850</v>
      </c>
      <c r="G392" s="134">
        <v>500</v>
      </c>
      <c r="H392" s="134">
        <v>500</v>
      </c>
      <c r="I392" s="157">
        <v>500</v>
      </c>
      <c r="M392" s="256"/>
      <c r="N392" s="256"/>
      <c r="O392" s="256"/>
      <c r="P392" s="330"/>
      <c r="AE392" s="54"/>
      <c r="AF392" s="54"/>
    </row>
    <row r="393" spans="1:32" ht="45">
      <c r="A393" s="144">
        <v>377</v>
      </c>
      <c r="B393" s="307" t="s">
        <v>327</v>
      </c>
      <c r="C393" s="34" t="s">
        <v>153</v>
      </c>
      <c r="D393" s="34" t="s">
        <v>94</v>
      </c>
      <c r="E393" s="34" t="s">
        <v>192</v>
      </c>
      <c r="F393" s="144"/>
      <c r="G393" s="134">
        <f t="shared" ref="G393:I393" si="212">G394+G396</f>
        <v>421400</v>
      </c>
      <c r="H393" s="134">
        <f t="shared" si="212"/>
        <v>362600</v>
      </c>
      <c r="I393" s="29">
        <f t="shared" si="212"/>
        <v>362600</v>
      </c>
      <c r="M393" s="256"/>
      <c r="N393" s="256"/>
      <c r="O393" s="256"/>
      <c r="P393" s="330"/>
      <c r="AE393" s="54"/>
      <c r="AF393" s="54"/>
    </row>
    <row r="394" spans="1:32" ht="45">
      <c r="A394" s="144">
        <v>378</v>
      </c>
      <c r="B394" s="143" t="s">
        <v>15</v>
      </c>
      <c r="C394" s="34" t="s">
        <v>153</v>
      </c>
      <c r="D394" s="34" t="s">
        <v>94</v>
      </c>
      <c r="E394" s="34" t="s">
        <v>192</v>
      </c>
      <c r="F394" s="144">
        <v>100</v>
      </c>
      <c r="G394" s="134">
        <f t="shared" ref="G394:I394" si="213">G395</f>
        <v>366554.6</v>
      </c>
      <c r="H394" s="134">
        <f t="shared" si="213"/>
        <v>307754.59999999998</v>
      </c>
      <c r="I394" s="29">
        <f t="shared" si="213"/>
        <v>307754.59999999998</v>
      </c>
      <c r="M394" s="256"/>
      <c r="N394" s="256"/>
      <c r="O394" s="256"/>
      <c r="P394" s="330"/>
      <c r="AE394" s="54"/>
      <c r="AF394" s="54"/>
    </row>
    <row r="395" spans="1:32">
      <c r="A395" s="144">
        <v>379</v>
      </c>
      <c r="B395" s="143" t="s">
        <v>63</v>
      </c>
      <c r="C395" s="34" t="s">
        <v>153</v>
      </c>
      <c r="D395" s="34" t="s">
        <v>94</v>
      </c>
      <c r="E395" s="34" t="s">
        <v>192</v>
      </c>
      <c r="F395" s="144">
        <v>110</v>
      </c>
      <c r="G395" s="134">
        <f>307754.6+58800</f>
        <v>366554.6</v>
      </c>
      <c r="H395" s="134">
        <v>307754.59999999998</v>
      </c>
      <c r="I395" s="157">
        <v>307754.59999999998</v>
      </c>
      <c r="M395" s="256"/>
      <c r="N395" s="256"/>
      <c r="O395" s="256"/>
      <c r="P395" s="330"/>
      <c r="AE395" s="54"/>
      <c r="AF395" s="54"/>
    </row>
    <row r="396" spans="1:32">
      <c r="A396" s="144">
        <v>380</v>
      </c>
      <c r="B396" s="143" t="s">
        <v>20</v>
      </c>
      <c r="C396" s="34" t="s">
        <v>153</v>
      </c>
      <c r="D396" s="34" t="s">
        <v>94</v>
      </c>
      <c r="E396" s="34" t="s">
        <v>192</v>
      </c>
      <c r="F396" s="144">
        <v>200</v>
      </c>
      <c r="G396" s="134">
        <f t="shared" ref="G396" si="214">G397</f>
        <v>54845.4</v>
      </c>
      <c r="H396" s="134">
        <f t="shared" ref="H396:I396" si="215">H397</f>
        <v>54845.4</v>
      </c>
      <c r="I396" s="29">
        <f t="shared" si="215"/>
        <v>54845.4</v>
      </c>
      <c r="M396" s="256"/>
      <c r="N396" s="256"/>
      <c r="O396" s="256"/>
      <c r="P396" s="330"/>
      <c r="AE396" s="54"/>
      <c r="AF396" s="54"/>
    </row>
    <row r="397" spans="1:32">
      <c r="A397" s="144">
        <v>381</v>
      </c>
      <c r="B397" s="143" t="s">
        <v>21</v>
      </c>
      <c r="C397" s="34" t="s">
        <v>153</v>
      </c>
      <c r="D397" s="34" t="s">
        <v>94</v>
      </c>
      <c r="E397" s="34" t="s">
        <v>192</v>
      </c>
      <c r="F397" s="144">
        <v>240</v>
      </c>
      <c r="G397" s="134">
        <v>54845.4</v>
      </c>
      <c r="H397" s="134">
        <v>54845.4</v>
      </c>
      <c r="I397" s="157">
        <v>54845.4</v>
      </c>
      <c r="M397" s="256"/>
      <c r="N397" s="256"/>
      <c r="O397" s="256"/>
      <c r="P397" s="330"/>
      <c r="AE397" s="54"/>
      <c r="AF397" s="54"/>
    </row>
    <row r="398" spans="1:32" ht="36.75" customHeight="1">
      <c r="A398" s="144">
        <v>382</v>
      </c>
      <c r="B398" s="312" t="s">
        <v>234</v>
      </c>
      <c r="C398" s="34" t="s">
        <v>153</v>
      </c>
      <c r="D398" s="295"/>
      <c r="E398" s="294"/>
      <c r="F398" s="295"/>
      <c r="G398" s="296">
        <f t="shared" ref="G398:I401" si="216">G399</f>
        <v>80292628.75999999</v>
      </c>
      <c r="H398" s="296">
        <f t="shared" si="216"/>
        <v>71918191.959999993</v>
      </c>
      <c r="I398" s="46">
        <f t="shared" si="216"/>
        <v>71904475.959999993</v>
      </c>
      <c r="M398" s="256"/>
      <c r="N398" s="256"/>
      <c r="O398" s="256"/>
      <c r="P398" s="330"/>
      <c r="AE398" s="54"/>
      <c r="AF398" s="54"/>
    </row>
    <row r="399" spans="1:32">
      <c r="A399" s="144">
        <v>383</v>
      </c>
      <c r="B399" s="297" t="s">
        <v>85</v>
      </c>
      <c r="C399" s="34" t="s">
        <v>153</v>
      </c>
      <c r="D399" s="34" t="s">
        <v>86</v>
      </c>
      <c r="E399" s="34"/>
      <c r="F399" s="144"/>
      <c r="G399" s="134">
        <f t="shared" si="216"/>
        <v>80292628.75999999</v>
      </c>
      <c r="H399" s="134">
        <f t="shared" si="216"/>
        <v>71918191.959999993</v>
      </c>
      <c r="I399" s="29">
        <f t="shared" si="216"/>
        <v>71904475.959999993</v>
      </c>
      <c r="M399" s="256"/>
      <c r="N399" s="256"/>
      <c r="O399" s="256"/>
      <c r="P399" s="330"/>
      <c r="AE399" s="54"/>
      <c r="AF399" s="54"/>
    </row>
    <row r="400" spans="1:32">
      <c r="A400" s="144">
        <v>384</v>
      </c>
      <c r="B400" s="298" t="s">
        <v>35</v>
      </c>
      <c r="C400" s="34" t="s">
        <v>153</v>
      </c>
      <c r="D400" s="34" t="s">
        <v>94</v>
      </c>
      <c r="E400" s="34"/>
      <c r="F400" s="144"/>
      <c r="G400" s="134">
        <f t="shared" si="216"/>
        <v>80292628.75999999</v>
      </c>
      <c r="H400" s="134">
        <f t="shared" si="216"/>
        <v>71918191.959999993</v>
      </c>
      <c r="I400" s="29">
        <f t="shared" si="216"/>
        <v>71904475.959999993</v>
      </c>
      <c r="M400" s="256"/>
      <c r="N400" s="256"/>
      <c r="O400" s="256"/>
      <c r="P400" s="330"/>
      <c r="AE400" s="54"/>
      <c r="AF400" s="54"/>
    </row>
    <row r="401" spans="1:32">
      <c r="A401" s="144">
        <v>385</v>
      </c>
      <c r="B401" s="298" t="s">
        <v>275</v>
      </c>
      <c r="C401" s="34" t="s">
        <v>153</v>
      </c>
      <c r="D401" s="34" t="s">
        <v>94</v>
      </c>
      <c r="E401" s="34" t="s">
        <v>272</v>
      </c>
      <c r="F401" s="144"/>
      <c r="G401" s="134">
        <f t="shared" si="216"/>
        <v>80292628.75999999</v>
      </c>
      <c r="H401" s="134">
        <f t="shared" si="216"/>
        <v>71918191.959999993</v>
      </c>
      <c r="I401" s="29">
        <f t="shared" si="216"/>
        <v>71904475.959999993</v>
      </c>
      <c r="M401" s="256"/>
      <c r="N401" s="256"/>
      <c r="O401" s="256"/>
      <c r="P401" s="330"/>
      <c r="AE401" s="54"/>
      <c r="AF401" s="54"/>
    </row>
    <row r="402" spans="1:32">
      <c r="A402" s="144">
        <v>386</v>
      </c>
      <c r="B402" s="298" t="s">
        <v>274</v>
      </c>
      <c r="C402" s="34" t="s">
        <v>153</v>
      </c>
      <c r="D402" s="34" t="s">
        <v>94</v>
      </c>
      <c r="E402" s="34" t="s">
        <v>273</v>
      </c>
      <c r="F402" s="144"/>
      <c r="G402" s="134">
        <f>G403+G410</f>
        <v>80292628.75999999</v>
      </c>
      <c r="H402" s="134">
        <f t="shared" ref="H402:I402" si="217">H403+H410</f>
        <v>71918191.959999993</v>
      </c>
      <c r="I402" s="29">
        <f t="shared" si="217"/>
        <v>71904475.959999993</v>
      </c>
      <c r="M402" s="256"/>
      <c r="N402" s="256"/>
      <c r="O402" s="256"/>
      <c r="P402" s="330"/>
      <c r="AE402" s="54"/>
      <c r="AF402" s="54"/>
    </row>
    <row r="403" spans="1:32">
      <c r="A403" s="144">
        <v>387</v>
      </c>
      <c r="B403" s="298" t="s">
        <v>299</v>
      </c>
      <c r="C403" s="34" t="s">
        <v>153</v>
      </c>
      <c r="D403" s="34" t="s">
        <v>94</v>
      </c>
      <c r="E403" s="34" t="s">
        <v>276</v>
      </c>
      <c r="F403" s="144"/>
      <c r="G403" s="134">
        <f t="shared" ref="G403:H403" si="218">G404+G406+G408</f>
        <v>78980793.25999999</v>
      </c>
      <c r="H403" s="134">
        <f t="shared" si="218"/>
        <v>71578086.459999993</v>
      </c>
      <c r="I403" s="29">
        <f t="shared" ref="I403" si="219">I404+I406+I408</f>
        <v>71904475.959999993</v>
      </c>
      <c r="M403" s="256"/>
      <c r="N403" s="256"/>
      <c r="O403" s="256"/>
      <c r="P403" s="330"/>
      <c r="AE403" s="54"/>
      <c r="AF403" s="54"/>
    </row>
    <row r="404" spans="1:32" ht="45">
      <c r="A404" s="144">
        <v>388</v>
      </c>
      <c r="B404" s="143" t="s">
        <v>15</v>
      </c>
      <c r="C404" s="34" t="s">
        <v>153</v>
      </c>
      <c r="D404" s="34" t="s">
        <v>94</v>
      </c>
      <c r="E404" s="34" t="s">
        <v>276</v>
      </c>
      <c r="F404" s="144">
        <v>100</v>
      </c>
      <c r="G404" s="134">
        <f t="shared" ref="G404:I404" si="220">G405</f>
        <v>76219772.25999999</v>
      </c>
      <c r="H404" s="134">
        <f t="shared" si="220"/>
        <v>68817065.459999993</v>
      </c>
      <c r="I404" s="29">
        <f t="shared" si="220"/>
        <v>69143454.959999993</v>
      </c>
      <c r="M404" s="256"/>
      <c r="N404" s="256"/>
      <c r="O404" s="256"/>
      <c r="P404" s="330"/>
      <c r="AE404" s="54"/>
      <c r="AF404" s="54"/>
    </row>
    <row r="405" spans="1:32">
      <c r="A405" s="144">
        <v>389</v>
      </c>
      <c r="B405" s="143" t="s">
        <v>63</v>
      </c>
      <c r="C405" s="34" t="s">
        <v>153</v>
      </c>
      <c r="D405" s="34" t="s">
        <v>94</v>
      </c>
      <c r="E405" s="34" t="s">
        <v>276</v>
      </c>
      <c r="F405" s="144">
        <v>110</v>
      </c>
      <c r="G405" s="134">
        <f>68915063.33-1263829.5+228391.63+6833938+1506208.8</f>
        <v>76219772.25999999</v>
      </c>
      <c r="H405" s="134">
        <f>68915063.33-326389.5+228391.63</f>
        <v>68817065.459999993</v>
      </c>
      <c r="I405" s="157">
        <f>68915063.33+228391.63</f>
        <v>69143454.959999993</v>
      </c>
      <c r="J405" s="335">
        <v>1506208.8</v>
      </c>
      <c r="M405" s="256"/>
      <c r="N405" s="256"/>
      <c r="O405" s="256"/>
      <c r="P405" s="330"/>
      <c r="AE405" s="54"/>
      <c r="AF405" s="54"/>
    </row>
    <row r="406" spans="1:32">
      <c r="A406" s="144">
        <v>390</v>
      </c>
      <c r="B406" s="143" t="s">
        <v>20</v>
      </c>
      <c r="C406" s="34" t="s">
        <v>153</v>
      </c>
      <c r="D406" s="34" t="s">
        <v>94</v>
      </c>
      <c r="E406" s="34" t="s">
        <v>276</v>
      </c>
      <c r="F406" s="144">
        <v>200</v>
      </c>
      <c r="G406" s="134">
        <f t="shared" ref="G406:I408" si="221">G407</f>
        <v>2732418</v>
      </c>
      <c r="H406" s="134">
        <f t="shared" si="221"/>
        <v>2732418</v>
      </c>
      <c r="I406" s="29">
        <f t="shared" si="221"/>
        <v>2732418</v>
      </c>
      <c r="M406" s="256"/>
      <c r="N406" s="256"/>
      <c r="O406" s="256"/>
      <c r="P406" s="330"/>
      <c r="AE406" s="54"/>
      <c r="AF406" s="54"/>
    </row>
    <row r="407" spans="1:32">
      <c r="A407" s="144">
        <v>391</v>
      </c>
      <c r="B407" s="143" t="s">
        <v>21</v>
      </c>
      <c r="C407" s="34" t="s">
        <v>153</v>
      </c>
      <c r="D407" s="34" t="s">
        <v>94</v>
      </c>
      <c r="E407" s="34" t="s">
        <v>276</v>
      </c>
      <c r="F407" s="144">
        <v>240</v>
      </c>
      <c r="G407" s="134">
        <v>2732418</v>
      </c>
      <c r="H407" s="134">
        <v>2732418</v>
      </c>
      <c r="I407" s="157">
        <v>2732418</v>
      </c>
      <c r="M407" s="256"/>
      <c r="N407" s="256"/>
      <c r="O407" s="256"/>
      <c r="P407" s="330"/>
      <c r="AE407" s="54"/>
      <c r="AF407" s="54"/>
    </row>
    <row r="408" spans="1:32">
      <c r="A408" s="144">
        <v>392</v>
      </c>
      <c r="B408" s="143" t="s">
        <v>32</v>
      </c>
      <c r="C408" s="34" t="s">
        <v>153</v>
      </c>
      <c r="D408" s="34" t="s">
        <v>94</v>
      </c>
      <c r="E408" s="34" t="s">
        <v>276</v>
      </c>
      <c r="F408" s="144">
        <v>800</v>
      </c>
      <c r="G408" s="134">
        <f t="shared" ref="G408" si="222">G409</f>
        <v>28603</v>
      </c>
      <c r="H408" s="134">
        <f t="shared" si="221"/>
        <v>28603</v>
      </c>
      <c r="I408" s="29">
        <f t="shared" si="221"/>
        <v>28603</v>
      </c>
      <c r="M408" s="256"/>
      <c r="N408" s="256"/>
      <c r="O408" s="256"/>
      <c r="P408" s="330"/>
      <c r="AE408" s="54"/>
      <c r="AF408" s="54"/>
    </row>
    <row r="409" spans="1:32">
      <c r="A409" s="144">
        <v>393</v>
      </c>
      <c r="B409" s="143" t="s">
        <v>80</v>
      </c>
      <c r="C409" s="34" t="s">
        <v>153</v>
      </c>
      <c r="D409" s="34" t="s">
        <v>94</v>
      </c>
      <c r="E409" s="34" t="s">
        <v>276</v>
      </c>
      <c r="F409" s="144">
        <v>850</v>
      </c>
      <c r="G409" s="134">
        <v>28603</v>
      </c>
      <c r="H409" s="134">
        <v>28603</v>
      </c>
      <c r="I409" s="157">
        <v>28603</v>
      </c>
      <c r="M409" s="256"/>
      <c r="N409" s="256"/>
      <c r="O409" s="256"/>
      <c r="P409" s="330"/>
      <c r="AE409" s="54"/>
      <c r="AF409" s="54"/>
    </row>
    <row r="410" spans="1:32" ht="30">
      <c r="A410" s="144">
        <v>394</v>
      </c>
      <c r="B410" s="299" t="s">
        <v>325</v>
      </c>
      <c r="C410" s="34" t="s">
        <v>153</v>
      </c>
      <c r="D410" s="34" t="s">
        <v>94</v>
      </c>
      <c r="E410" s="34" t="s">
        <v>326</v>
      </c>
      <c r="F410" s="144"/>
      <c r="G410" s="134">
        <f t="shared" ref="G410:I410" si="223">G411+G413</f>
        <v>1311835.5</v>
      </c>
      <c r="H410" s="134">
        <f t="shared" si="223"/>
        <v>340105.5</v>
      </c>
      <c r="I410" s="29">
        <f t="shared" si="223"/>
        <v>0</v>
      </c>
      <c r="M410" s="256"/>
      <c r="N410" s="256"/>
      <c r="O410" s="256"/>
      <c r="P410" s="330"/>
      <c r="AE410" s="54"/>
      <c r="AF410" s="54"/>
    </row>
    <row r="411" spans="1:32" ht="45">
      <c r="A411" s="144">
        <v>395</v>
      </c>
      <c r="B411" s="143" t="s">
        <v>15</v>
      </c>
      <c r="C411" s="34" t="s">
        <v>153</v>
      </c>
      <c r="D411" s="34" t="s">
        <v>94</v>
      </c>
      <c r="E411" s="34" t="s">
        <v>326</v>
      </c>
      <c r="F411" s="144">
        <v>100</v>
      </c>
      <c r="G411" s="134">
        <f t="shared" ref="G411:I411" si="224">G412</f>
        <v>1263829.5</v>
      </c>
      <c r="H411" s="134">
        <f t="shared" si="224"/>
        <v>326389.5</v>
      </c>
      <c r="I411" s="29">
        <f t="shared" si="224"/>
        <v>0</v>
      </c>
      <c r="M411" s="256"/>
      <c r="N411" s="256"/>
      <c r="O411" s="256"/>
      <c r="P411" s="330"/>
      <c r="AE411" s="54"/>
      <c r="AF411" s="54"/>
    </row>
    <row r="412" spans="1:32">
      <c r="A412" s="144">
        <v>396</v>
      </c>
      <c r="B412" s="143" t="s">
        <v>63</v>
      </c>
      <c r="C412" s="34" t="s">
        <v>153</v>
      </c>
      <c r="D412" s="34" t="s">
        <v>94</v>
      </c>
      <c r="E412" s="34" t="s">
        <v>326</v>
      </c>
      <c r="F412" s="144">
        <v>110</v>
      </c>
      <c r="G412" s="134">
        <v>1263829.5</v>
      </c>
      <c r="H412" s="134">
        <v>326389.5</v>
      </c>
      <c r="I412" s="29">
        <v>0</v>
      </c>
      <c r="M412" s="256"/>
      <c r="N412" s="256"/>
      <c r="O412" s="256"/>
      <c r="P412" s="330"/>
      <c r="AE412" s="54"/>
      <c r="AF412" s="54"/>
    </row>
    <row r="413" spans="1:32">
      <c r="A413" s="144">
        <v>397</v>
      </c>
      <c r="B413" s="143" t="s">
        <v>20</v>
      </c>
      <c r="C413" s="34" t="s">
        <v>153</v>
      </c>
      <c r="D413" s="34" t="s">
        <v>94</v>
      </c>
      <c r="E413" s="34" t="s">
        <v>326</v>
      </c>
      <c r="F413" s="144">
        <v>200</v>
      </c>
      <c r="G413" s="134">
        <f t="shared" ref="G413:I413" si="225">G414</f>
        <v>48006</v>
      </c>
      <c r="H413" s="134">
        <f t="shared" si="225"/>
        <v>13716</v>
      </c>
      <c r="I413" s="29">
        <f t="shared" si="225"/>
        <v>0</v>
      </c>
      <c r="M413" s="256"/>
      <c r="N413" s="256"/>
      <c r="O413" s="256"/>
      <c r="P413" s="330"/>
      <c r="AE413" s="54"/>
      <c r="AF413" s="54"/>
    </row>
    <row r="414" spans="1:32">
      <c r="A414" s="144">
        <v>398</v>
      </c>
      <c r="B414" s="143" t="s">
        <v>21</v>
      </c>
      <c r="C414" s="34" t="s">
        <v>153</v>
      </c>
      <c r="D414" s="34" t="s">
        <v>94</v>
      </c>
      <c r="E414" s="34" t="s">
        <v>326</v>
      </c>
      <c r="F414" s="144">
        <v>240</v>
      </c>
      <c r="G414" s="134">
        <v>48006</v>
      </c>
      <c r="H414" s="134">
        <v>13716</v>
      </c>
      <c r="I414" s="29">
        <v>0</v>
      </c>
      <c r="M414" s="256"/>
      <c r="N414" s="256"/>
      <c r="O414" s="256"/>
      <c r="P414" s="330"/>
      <c r="AE414" s="54"/>
      <c r="AF414" s="54"/>
    </row>
    <row r="415" spans="1:32" ht="39" customHeight="1">
      <c r="A415" s="144">
        <v>399</v>
      </c>
      <c r="B415" s="312" t="s">
        <v>281</v>
      </c>
      <c r="C415" s="34" t="s">
        <v>153</v>
      </c>
      <c r="D415" s="144"/>
      <c r="E415" s="34"/>
      <c r="F415" s="144"/>
      <c r="G415" s="296">
        <f t="shared" ref="G415:I415" si="226">G416</f>
        <v>11364656.74</v>
      </c>
      <c r="H415" s="296">
        <f t="shared" si="226"/>
        <v>10713138.73</v>
      </c>
      <c r="I415" s="46">
        <f t="shared" si="226"/>
        <v>10713138.73</v>
      </c>
      <c r="M415" s="256"/>
      <c r="N415" s="256"/>
      <c r="O415" s="256"/>
      <c r="P415" s="330"/>
      <c r="AE415" s="54"/>
      <c r="AF415" s="54"/>
    </row>
    <row r="416" spans="1:32">
      <c r="A416" s="144">
        <v>400</v>
      </c>
      <c r="B416" s="297" t="s">
        <v>85</v>
      </c>
      <c r="C416" s="34" t="s">
        <v>153</v>
      </c>
      <c r="D416" s="34" t="s">
        <v>86</v>
      </c>
      <c r="E416" s="34"/>
      <c r="F416" s="144"/>
      <c r="G416" s="134">
        <f t="shared" ref="G416:I416" si="227">G417</f>
        <v>11364656.74</v>
      </c>
      <c r="H416" s="134">
        <f t="shared" si="227"/>
        <v>10713138.73</v>
      </c>
      <c r="I416" s="35">
        <f t="shared" si="227"/>
        <v>10713138.73</v>
      </c>
      <c r="M416" s="256"/>
      <c r="N416" s="256"/>
      <c r="O416" s="256"/>
      <c r="P416" s="330"/>
      <c r="AE416" s="54"/>
      <c r="AF416" s="54"/>
    </row>
    <row r="417" spans="1:32">
      <c r="A417" s="144">
        <v>401</v>
      </c>
      <c r="B417" s="298" t="s">
        <v>35</v>
      </c>
      <c r="C417" s="34" t="s">
        <v>153</v>
      </c>
      <c r="D417" s="34" t="s">
        <v>94</v>
      </c>
      <c r="E417" s="34"/>
      <c r="F417" s="144"/>
      <c r="G417" s="134">
        <f>G418+G427</f>
        <v>11364656.74</v>
      </c>
      <c r="H417" s="134">
        <f>H418+H427</f>
        <v>10713138.73</v>
      </c>
      <c r="I417" s="35">
        <f>I418+I427</f>
        <v>10713138.73</v>
      </c>
      <c r="M417" s="256"/>
      <c r="N417" s="256"/>
      <c r="O417" s="256"/>
      <c r="P417" s="330"/>
      <c r="AE417" s="54"/>
      <c r="AF417" s="54"/>
    </row>
    <row r="418" spans="1:32">
      <c r="A418" s="144">
        <v>402</v>
      </c>
      <c r="B418" s="298" t="s">
        <v>275</v>
      </c>
      <c r="C418" s="34" t="s">
        <v>153</v>
      </c>
      <c r="D418" s="34" t="s">
        <v>94</v>
      </c>
      <c r="E418" s="34">
        <v>9100000000</v>
      </c>
      <c r="F418" s="144"/>
      <c r="G418" s="134">
        <f t="shared" ref="G418:I418" si="228">G419</f>
        <v>10364656.74</v>
      </c>
      <c r="H418" s="134">
        <f t="shared" si="228"/>
        <v>10113138.73</v>
      </c>
      <c r="I418" s="35">
        <f t="shared" si="228"/>
        <v>10113138.73</v>
      </c>
      <c r="M418" s="256"/>
      <c r="N418" s="256"/>
      <c r="O418" s="256"/>
      <c r="P418" s="330"/>
      <c r="AE418" s="54"/>
      <c r="AF418" s="54"/>
    </row>
    <row r="419" spans="1:32">
      <c r="A419" s="144">
        <v>403</v>
      </c>
      <c r="B419" s="298" t="s">
        <v>282</v>
      </c>
      <c r="C419" s="34" t="s">
        <v>153</v>
      </c>
      <c r="D419" s="34" t="s">
        <v>94</v>
      </c>
      <c r="E419" s="34">
        <v>9150000000</v>
      </c>
      <c r="F419" s="144"/>
      <c r="G419" s="134">
        <f t="shared" ref="G419:I419" si="229">G420</f>
        <v>10364656.74</v>
      </c>
      <c r="H419" s="134">
        <f t="shared" si="229"/>
        <v>10113138.73</v>
      </c>
      <c r="I419" s="35">
        <f t="shared" si="229"/>
        <v>10113138.73</v>
      </c>
      <c r="M419" s="256"/>
      <c r="N419" s="256"/>
      <c r="O419" s="256"/>
      <c r="P419" s="330"/>
      <c r="AE419" s="54"/>
      <c r="AF419" s="54"/>
    </row>
    <row r="420" spans="1:32">
      <c r="A420" s="144">
        <v>404</v>
      </c>
      <c r="B420" s="298" t="s">
        <v>299</v>
      </c>
      <c r="C420" s="34" t="s">
        <v>153</v>
      </c>
      <c r="D420" s="34" t="s">
        <v>94</v>
      </c>
      <c r="E420" s="34">
        <v>9150000620</v>
      </c>
      <c r="F420" s="144"/>
      <c r="G420" s="134">
        <f t="shared" ref="G420" si="230">G421+G423+G425</f>
        <v>10364656.74</v>
      </c>
      <c r="H420" s="134">
        <f t="shared" ref="H420:I420" si="231">H421+H423+H425</f>
        <v>10113138.73</v>
      </c>
      <c r="I420" s="29">
        <f t="shared" si="231"/>
        <v>10113138.73</v>
      </c>
      <c r="M420" s="256"/>
      <c r="N420" s="256"/>
      <c r="O420" s="256"/>
      <c r="P420" s="330"/>
      <c r="AE420" s="54"/>
      <c r="AF420" s="54"/>
    </row>
    <row r="421" spans="1:32" ht="45">
      <c r="A421" s="144">
        <v>405</v>
      </c>
      <c r="B421" s="143" t="s">
        <v>15</v>
      </c>
      <c r="C421" s="34" t="s">
        <v>153</v>
      </c>
      <c r="D421" s="34" t="s">
        <v>94</v>
      </c>
      <c r="E421" s="34" t="s">
        <v>612</v>
      </c>
      <c r="F421" s="144">
        <v>100</v>
      </c>
      <c r="G421" s="134">
        <f t="shared" ref="G421:I421" si="232">G422</f>
        <v>9898056.7400000002</v>
      </c>
      <c r="H421" s="134">
        <f t="shared" si="232"/>
        <v>9766538.7300000004</v>
      </c>
      <c r="I421" s="29">
        <f t="shared" si="232"/>
        <v>9766538.7300000004</v>
      </c>
      <c r="J421" s="335">
        <v>-567807.99</v>
      </c>
      <c r="M421" s="256"/>
      <c r="N421" s="256"/>
      <c r="O421" s="256"/>
      <c r="P421" s="330"/>
      <c r="AE421" s="54"/>
      <c r="AF421" s="54"/>
    </row>
    <row r="422" spans="1:32">
      <c r="A422" s="144">
        <v>406</v>
      </c>
      <c r="B422" s="143" t="s">
        <v>63</v>
      </c>
      <c r="C422" s="34" t="s">
        <v>153</v>
      </c>
      <c r="D422" s="34" t="s">
        <v>94</v>
      </c>
      <c r="E422" s="34">
        <v>9150000620</v>
      </c>
      <c r="F422" s="144">
        <v>110</v>
      </c>
      <c r="G422" s="134">
        <f>9766538.73+759326-50000-10000-567807.99</f>
        <v>9898056.7400000002</v>
      </c>
      <c r="H422" s="134">
        <v>9766538.7300000004</v>
      </c>
      <c r="I422" s="157">
        <v>9766538.7300000004</v>
      </c>
      <c r="J422" s="259">
        <v>-10000</v>
      </c>
      <c r="M422" s="256"/>
      <c r="N422" s="256"/>
      <c r="O422" s="256"/>
      <c r="P422" s="330"/>
      <c r="AE422" s="54"/>
      <c r="AF422" s="54"/>
    </row>
    <row r="423" spans="1:32">
      <c r="A423" s="144">
        <v>407</v>
      </c>
      <c r="B423" s="143" t="s">
        <v>20</v>
      </c>
      <c r="C423" s="34" t="s">
        <v>153</v>
      </c>
      <c r="D423" s="34" t="s">
        <v>94</v>
      </c>
      <c r="E423" s="34">
        <v>9150000620</v>
      </c>
      <c r="F423" s="144">
        <v>200</v>
      </c>
      <c r="G423" s="134">
        <f t="shared" ref="G423:I423" si="233">G424</f>
        <v>455600</v>
      </c>
      <c r="H423" s="134">
        <f t="shared" si="233"/>
        <v>345600</v>
      </c>
      <c r="I423" s="29">
        <f t="shared" si="233"/>
        <v>345600</v>
      </c>
      <c r="J423" s="254"/>
      <c r="M423" s="256"/>
      <c r="N423" s="256"/>
      <c r="O423" s="256"/>
      <c r="P423" s="330"/>
      <c r="AE423" s="54"/>
      <c r="AF423" s="54"/>
    </row>
    <row r="424" spans="1:32">
      <c r="A424" s="144">
        <v>408</v>
      </c>
      <c r="B424" s="143" t="s">
        <v>21</v>
      </c>
      <c r="C424" s="34" t="s">
        <v>153</v>
      </c>
      <c r="D424" s="34" t="s">
        <v>94</v>
      </c>
      <c r="E424" s="34">
        <v>9150000620</v>
      </c>
      <c r="F424" s="144">
        <v>240</v>
      </c>
      <c r="G424" s="134">
        <f>345600+50000+60000</f>
        <v>455600</v>
      </c>
      <c r="H424" s="134">
        <v>345600</v>
      </c>
      <c r="I424" s="157">
        <v>345600</v>
      </c>
      <c r="J424" s="335">
        <v>60000</v>
      </c>
      <c r="M424" s="256"/>
      <c r="N424" s="256"/>
      <c r="O424" s="256"/>
      <c r="P424" s="330"/>
      <c r="AE424" s="54"/>
      <c r="AF424" s="54"/>
    </row>
    <row r="425" spans="1:32">
      <c r="A425" s="144">
        <v>409</v>
      </c>
      <c r="B425" s="143" t="s">
        <v>32</v>
      </c>
      <c r="C425" s="34" t="s">
        <v>153</v>
      </c>
      <c r="D425" s="34" t="s">
        <v>94</v>
      </c>
      <c r="E425" s="34">
        <v>9150000620</v>
      </c>
      <c r="F425" s="144">
        <v>800</v>
      </c>
      <c r="G425" s="134">
        <f t="shared" ref="G425:I425" si="234">G426</f>
        <v>11000</v>
      </c>
      <c r="H425" s="134">
        <f t="shared" si="234"/>
        <v>1000</v>
      </c>
      <c r="I425" s="29">
        <f t="shared" si="234"/>
        <v>1000</v>
      </c>
      <c r="M425" s="256"/>
      <c r="N425" s="256"/>
      <c r="O425" s="256"/>
      <c r="P425" s="330"/>
      <c r="AE425" s="54"/>
      <c r="AF425" s="54"/>
    </row>
    <row r="426" spans="1:32">
      <c r="A426" s="144">
        <v>410</v>
      </c>
      <c r="B426" s="143" t="s">
        <v>80</v>
      </c>
      <c r="C426" s="34" t="s">
        <v>153</v>
      </c>
      <c r="D426" s="34" t="s">
        <v>94</v>
      </c>
      <c r="E426" s="34">
        <v>9150000620</v>
      </c>
      <c r="F426" s="144">
        <v>850</v>
      </c>
      <c r="G426" s="134">
        <f>1000+10000</f>
        <v>11000</v>
      </c>
      <c r="H426" s="134">
        <v>1000</v>
      </c>
      <c r="I426" s="157">
        <v>1000</v>
      </c>
      <c r="J426" s="259">
        <v>10000</v>
      </c>
      <c r="M426" s="256"/>
      <c r="N426" s="256"/>
      <c r="O426" s="256"/>
      <c r="P426" s="330"/>
      <c r="AE426" s="54"/>
      <c r="AF426" s="54"/>
    </row>
    <row r="427" spans="1:32">
      <c r="A427" s="144">
        <v>411</v>
      </c>
      <c r="B427" s="299" t="s">
        <v>280</v>
      </c>
      <c r="C427" s="34" t="s">
        <v>153</v>
      </c>
      <c r="D427" s="34" t="s">
        <v>94</v>
      </c>
      <c r="E427" s="34" t="s">
        <v>178</v>
      </c>
      <c r="F427" s="144"/>
      <c r="G427" s="134">
        <f t="shared" ref="G427:I427" si="235">G428</f>
        <v>1000000</v>
      </c>
      <c r="H427" s="134">
        <f t="shared" si="235"/>
        <v>600000</v>
      </c>
      <c r="I427" s="29">
        <f t="shared" si="235"/>
        <v>600000</v>
      </c>
      <c r="M427" s="256"/>
      <c r="N427" s="256"/>
      <c r="O427" s="256"/>
      <c r="P427" s="330"/>
      <c r="AE427" s="54"/>
      <c r="AF427" s="54"/>
    </row>
    <row r="428" spans="1:32" ht="30">
      <c r="A428" s="144">
        <v>412</v>
      </c>
      <c r="B428" s="298" t="s">
        <v>382</v>
      </c>
      <c r="C428" s="34" t="s">
        <v>153</v>
      </c>
      <c r="D428" s="34" t="s">
        <v>94</v>
      </c>
      <c r="E428" s="34" t="s">
        <v>179</v>
      </c>
      <c r="F428" s="144"/>
      <c r="G428" s="134">
        <f t="shared" ref="G428:H428" si="236">G429+G432</f>
        <v>1000000</v>
      </c>
      <c r="H428" s="134">
        <f t="shared" si="236"/>
        <v>600000</v>
      </c>
      <c r="I428" s="29">
        <f t="shared" ref="I428" si="237">I429+I432</f>
        <v>600000</v>
      </c>
      <c r="M428" s="256"/>
      <c r="N428" s="256"/>
      <c r="O428" s="256"/>
      <c r="P428" s="330"/>
      <c r="AE428" s="54"/>
      <c r="AF428" s="54"/>
    </row>
    <row r="429" spans="1:32" ht="45">
      <c r="A429" s="144">
        <v>413</v>
      </c>
      <c r="B429" s="298" t="s">
        <v>364</v>
      </c>
      <c r="C429" s="34" t="s">
        <v>153</v>
      </c>
      <c r="D429" s="34" t="s">
        <v>94</v>
      </c>
      <c r="E429" s="34" t="s">
        <v>283</v>
      </c>
      <c r="F429" s="144"/>
      <c r="G429" s="134">
        <f t="shared" ref="G429:I430" si="238">G430</f>
        <v>700000</v>
      </c>
      <c r="H429" s="134">
        <f t="shared" si="238"/>
        <v>300000</v>
      </c>
      <c r="I429" s="29">
        <f t="shared" si="238"/>
        <v>300000</v>
      </c>
      <c r="M429" s="256"/>
      <c r="N429" s="256"/>
      <c r="O429" s="256"/>
      <c r="P429" s="330"/>
      <c r="AE429" s="54"/>
      <c r="AF429" s="54"/>
    </row>
    <row r="430" spans="1:32">
      <c r="A430" s="144">
        <v>414</v>
      </c>
      <c r="B430" s="143" t="s">
        <v>20</v>
      </c>
      <c r="C430" s="34" t="s">
        <v>153</v>
      </c>
      <c r="D430" s="34" t="s">
        <v>94</v>
      </c>
      <c r="E430" s="34" t="s">
        <v>283</v>
      </c>
      <c r="F430" s="144">
        <v>200</v>
      </c>
      <c r="G430" s="134">
        <f t="shared" si="238"/>
        <v>700000</v>
      </c>
      <c r="H430" s="134">
        <f t="shared" si="238"/>
        <v>300000</v>
      </c>
      <c r="I430" s="29">
        <f t="shared" si="238"/>
        <v>300000</v>
      </c>
      <c r="M430" s="256"/>
      <c r="N430" s="256"/>
      <c r="O430" s="256"/>
      <c r="P430" s="330"/>
      <c r="AE430" s="54"/>
      <c r="AF430" s="54"/>
    </row>
    <row r="431" spans="1:32">
      <c r="A431" s="144">
        <v>415</v>
      </c>
      <c r="B431" s="143" t="s">
        <v>21</v>
      </c>
      <c r="C431" s="34" t="s">
        <v>153</v>
      </c>
      <c r="D431" s="34" t="s">
        <v>94</v>
      </c>
      <c r="E431" s="34" t="s">
        <v>283</v>
      </c>
      <c r="F431" s="144">
        <v>240</v>
      </c>
      <c r="G431" s="134">
        <f>300000+300000+100000</f>
        <v>700000</v>
      </c>
      <c r="H431" s="134">
        <v>300000</v>
      </c>
      <c r="I431" s="157">
        <v>300000</v>
      </c>
      <c r="J431" s="335">
        <v>100000</v>
      </c>
      <c r="M431" s="256"/>
      <c r="N431" s="256"/>
      <c r="O431" s="256"/>
      <c r="P431" s="330"/>
      <c r="AE431" s="54"/>
      <c r="AF431" s="54"/>
    </row>
    <row r="432" spans="1:32" ht="45">
      <c r="A432" s="144">
        <v>416</v>
      </c>
      <c r="B432" s="298" t="s">
        <v>365</v>
      </c>
      <c r="C432" s="34" t="s">
        <v>153</v>
      </c>
      <c r="D432" s="34" t="s">
        <v>94</v>
      </c>
      <c r="E432" s="34" t="s">
        <v>284</v>
      </c>
      <c r="F432" s="144"/>
      <c r="G432" s="134">
        <f t="shared" ref="G432:I433" si="239">G433</f>
        <v>300000</v>
      </c>
      <c r="H432" s="134">
        <f t="shared" si="239"/>
        <v>300000</v>
      </c>
      <c r="I432" s="29">
        <f t="shared" si="239"/>
        <v>300000</v>
      </c>
      <c r="M432" s="256"/>
      <c r="N432" s="256"/>
      <c r="O432" s="256"/>
      <c r="P432" s="330"/>
      <c r="AE432" s="54"/>
      <c r="AF432" s="54"/>
    </row>
    <row r="433" spans="1:32">
      <c r="A433" s="144">
        <v>417</v>
      </c>
      <c r="B433" s="143" t="s">
        <v>20</v>
      </c>
      <c r="C433" s="34" t="s">
        <v>153</v>
      </c>
      <c r="D433" s="34" t="s">
        <v>94</v>
      </c>
      <c r="E433" s="34" t="s">
        <v>284</v>
      </c>
      <c r="F433" s="144">
        <v>200</v>
      </c>
      <c r="G433" s="134">
        <f t="shared" si="239"/>
        <v>300000</v>
      </c>
      <c r="H433" s="134">
        <f t="shared" si="239"/>
        <v>300000</v>
      </c>
      <c r="I433" s="29">
        <f t="shared" si="239"/>
        <v>300000</v>
      </c>
      <c r="M433" s="256"/>
      <c r="N433" s="256"/>
      <c r="O433" s="256"/>
      <c r="P433" s="330"/>
      <c r="AE433" s="54"/>
      <c r="AF433" s="54"/>
    </row>
    <row r="434" spans="1:32">
      <c r="A434" s="144">
        <v>418</v>
      </c>
      <c r="B434" s="143" t="s">
        <v>21</v>
      </c>
      <c r="C434" s="34" t="s">
        <v>153</v>
      </c>
      <c r="D434" s="34" t="s">
        <v>94</v>
      </c>
      <c r="E434" s="34" t="s">
        <v>284</v>
      </c>
      <c r="F434" s="144">
        <v>240</v>
      </c>
      <c r="G434" s="134">
        <v>300000</v>
      </c>
      <c r="H434" s="134">
        <v>300000</v>
      </c>
      <c r="I434" s="157">
        <v>300000</v>
      </c>
      <c r="M434" s="256"/>
      <c r="N434" s="256"/>
      <c r="O434" s="256"/>
      <c r="P434" s="330"/>
      <c r="AE434" s="54"/>
      <c r="AF434" s="54"/>
    </row>
    <row r="435" spans="1:32" ht="35.25" customHeight="1">
      <c r="A435" s="144">
        <v>419</v>
      </c>
      <c r="B435" s="293" t="s">
        <v>235</v>
      </c>
      <c r="C435" s="294">
        <v>951</v>
      </c>
      <c r="D435" s="295"/>
      <c r="E435" s="294"/>
      <c r="F435" s="295"/>
      <c r="G435" s="296">
        <f>G436+G562</f>
        <v>811421340.69000006</v>
      </c>
      <c r="H435" s="296">
        <f>H436+H562</f>
        <v>720701465</v>
      </c>
      <c r="I435" s="46">
        <f>I436+I562</f>
        <v>721075194.29999995</v>
      </c>
      <c r="M435" s="256"/>
      <c r="N435" s="256"/>
      <c r="O435" s="256"/>
      <c r="P435" s="330"/>
      <c r="AE435" s="54"/>
      <c r="AF435" s="54"/>
    </row>
    <row r="436" spans="1:32">
      <c r="A436" s="144">
        <v>420</v>
      </c>
      <c r="B436" s="297" t="s">
        <v>113</v>
      </c>
      <c r="C436" s="34">
        <v>951</v>
      </c>
      <c r="D436" s="34" t="s">
        <v>114</v>
      </c>
      <c r="E436" s="34"/>
      <c r="F436" s="144"/>
      <c r="G436" s="134">
        <f>G437+G469+G525+G551</f>
        <v>789345245.49000001</v>
      </c>
      <c r="H436" s="134">
        <f>H437+H469+H525+H551</f>
        <v>698625228.79999995</v>
      </c>
      <c r="I436" s="29">
        <f>I437+I469+I525+I551</f>
        <v>699142933.74000001</v>
      </c>
      <c r="M436" s="256"/>
      <c r="N436" s="256"/>
      <c r="O436" s="256"/>
      <c r="P436" s="330"/>
      <c r="AE436" s="54"/>
      <c r="AF436" s="54"/>
    </row>
    <row r="437" spans="1:32">
      <c r="A437" s="144">
        <v>421</v>
      </c>
      <c r="B437" s="143" t="s">
        <v>115</v>
      </c>
      <c r="C437" s="34">
        <v>951</v>
      </c>
      <c r="D437" s="34" t="s">
        <v>116</v>
      </c>
      <c r="E437" s="34"/>
      <c r="F437" s="144"/>
      <c r="G437" s="134">
        <f>G438+G464</f>
        <v>238136652.20000002</v>
      </c>
      <c r="H437" s="134">
        <f t="shared" ref="H437:I437" si="240">H438+H464</f>
        <v>209000895</v>
      </c>
      <c r="I437" s="29">
        <f t="shared" si="240"/>
        <v>209000895</v>
      </c>
      <c r="M437" s="256"/>
      <c r="N437" s="256"/>
      <c r="O437" s="256"/>
      <c r="P437" s="330"/>
      <c r="AE437" s="54"/>
      <c r="AF437" s="54"/>
    </row>
    <row r="438" spans="1:32" ht="30">
      <c r="A438" s="144">
        <v>422</v>
      </c>
      <c r="B438" s="298" t="s">
        <v>54</v>
      </c>
      <c r="C438" s="34">
        <v>951</v>
      </c>
      <c r="D438" s="34" t="s">
        <v>116</v>
      </c>
      <c r="E438" s="34" t="s">
        <v>184</v>
      </c>
      <c r="F438" s="144"/>
      <c r="G438" s="134">
        <f t="shared" ref="G438:I438" si="241">G439</f>
        <v>237982327.20000002</v>
      </c>
      <c r="H438" s="134">
        <f t="shared" si="241"/>
        <v>209000895</v>
      </c>
      <c r="I438" s="29">
        <f t="shared" si="241"/>
        <v>209000895</v>
      </c>
      <c r="M438" s="256"/>
      <c r="N438" s="256"/>
      <c r="O438" s="256"/>
      <c r="P438" s="330"/>
      <c r="AE438" s="54"/>
      <c r="AF438" s="54"/>
    </row>
    <row r="439" spans="1:32">
      <c r="A439" s="144">
        <v>423</v>
      </c>
      <c r="B439" s="298" t="s">
        <v>135</v>
      </c>
      <c r="C439" s="34">
        <v>951</v>
      </c>
      <c r="D439" s="34" t="s">
        <v>116</v>
      </c>
      <c r="E439" s="34" t="s">
        <v>194</v>
      </c>
      <c r="F439" s="144"/>
      <c r="G439" s="134">
        <f>G440+G449+G452+G455+G446+G443+G458+G461</f>
        <v>237982327.20000002</v>
      </c>
      <c r="H439" s="134">
        <f t="shared" ref="H439:I439" si="242">H440+H449+H452+H455+H446+H443+H458+H461</f>
        <v>209000895</v>
      </c>
      <c r="I439" s="29">
        <f t="shared" si="242"/>
        <v>209000895</v>
      </c>
      <c r="M439" s="256"/>
      <c r="N439" s="256"/>
      <c r="O439" s="256"/>
      <c r="P439" s="330"/>
      <c r="AE439" s="54"/>
      <c r="AF439" s="54"/>
    </row>
    <row r="440" spans="1:32" ht="45">
      <c r="A440" s="144">
        <v>424</v>
      </c>
      <c r="B440" s="143" t="s">
        <v>332</v>
      </c>
      <c r="C440" s="34">
        <v>951</v>
      </c>
      <c r="D440" s="34" t="s">
        <v>116</v>
      </c>
      <c r="E440" s="34" t="s">
        <v>195</v>
      </c>
      <c r="F440" s="144"/>
      <c r="G440" s="134">
        <f t="shared" ref="G440:I440" si="243">G441</f>
        <v>119620260</v>
      </c>
      <c r="H440" s="134">
        <f t="shared" si="243"/>
        <v>109276060</v>
      </c>
      <c r="I440" s="29">
        <f t="shared" si="243"/>
        <v>112276060</v>
      </c>
      <c r="M440" s="256"/>
      <c r="N440" s="256"/>
      <c r="O440" s="256"/>
      <c r="P440" s="330"/>
      <c r="AE440" s="54"/>
      <c r="AF440" s="54"/>
    </row>
    <row r="441" spans="1:32" ht="30">
      <c r="A441" s="144">
        <v>425</v>
      </c>
      <c r="B441" s="143" t="s">
        <v>49</v>
      </c>
      <c r="C441" s="34">
        <v>951</v>
      </c>
      <c r="D441" s="34" t="s">
        <v>116</v>
      </c>
      <c r="E441" s="34" t="s">
        <v>195</v>
      </c>
      <c r="F441" s="144">
        <v>600</v>
      </c>
      <c r="G441" s="134">
        <f t="shared" ref="G441" si="244">G442</f>
        <v>119620260</v>
      </c>
      <c r="H441" s="134">
        <f t="shared" ref="H441:I441" si="245">H442</f>
        <v>109276060</v>
      </c>
      <c r="I441" s="29">
        <f t="shared" si="245"/>
        <v>112276060</v>
      </c>
      <c r="J441" s="254"/>
      <c r="K441" s="254"/>
      <c r="M441" s="256"/>
      <c r="N441" s="256"/>
      <c r="O441" s="256"/>
      <c r="P441" s="330"/>
      <c r="AE441" s="54"/>
      <c r="AF441" s="54"/>
    </row>
    <row r="442" spans="1:32">
      <c r="A442" s="144">
        <v>426</v>
      </c>
      <c r="B442" s="143" t="s">
        <v>67</v>
      </c>
      <c r="C442" s="34">
        <v>951</v>
      </c>
      <c r="D442" s="34" t="s">
        <v>116</v>
      </c>
      <c r="E442" s="34" t="s">
        <v>195</v>
      </c>
      <c r="F442" s="144">
        <v>610</v>
      </c>
      <c r="G442" s="134">
        <f>107182470+4022900+1070690+6453300+890900</f>
        <v>119620260</v>
      </c>
      <c r="H442" s="134">
        <f>112276060-3000000</f>
        <v>109276060</v>
      </c>
      <c r="I442" s="157">
        <v>112276060</v>
      </c>
      <c r="J442" s="254"/>
      <c r="M442" s="256"/>
      <c r="N442" s="256"/>
      <c r="O442" s="256"/>
      <c r="P442" s="330"/>
      <c r="AE442" s="54"/>
      <c r="AF442" s="54"/>
    </row>
    <row r="443" spans="1:32" ht="66" customHeight="1">
      <c r="A443" s="144">
        <v>427</v>
      </c>
      <c r="B443" s="143" t="s">
        <v>508</v>
      </c>
      <c r="C443" s="34" t="s">
        <v>165</v>
      </c>
      <c r="D443" s="34" t="s">
        <v>116</v>
      </c>
      <c r="E443" s="34" t="s">
        <v>509</v>
      </c>
      <c r="F443" s="144"/>
      <c r="G443" s="134">
        <f>G444</f>
        <v>1850535.36</v>
      </c>
      <c r="H443" s="134">
        <f t="shared" ref="H443:I444" si="246">H444</f>
        <v>1553535</v>
      </c>
      <c r="I443" s="29">
        <f t="shared" si="246"/>
        <v>1553535</v>
      </c>
      <c r="J443" s="254"/>
      <c r="M443" s="256"/>
      <c r="N443" s="256"/>
      <c r="O443" s="256"/>
      <c r="P443" s="330"/>
      <c r="AE443" s="54"/>
      <c r="AF443" s="54"/>
    </row>
    <row r="444" spans="1:32" ht="30">
      <c r="A444" s="144">
        <v>428</v>
      </c>
      <c r="B444" s="143" t="s">
        <v>49</v>
      </c>
      <c r="C444" s="34" t="s">
        <v>165</v>
      </c>
      <c r="D444" s="34" t="s">
        <v>116</v>
      </c>
      <c r="E444" s="34" t="s">
        <v>509</v>
      </c>
      <c r="F444" s="144">
        <v>600</v>
      </c>
      <c r="G444" s="134">
        <f>G445</f>
        <v>1850535.36</v>
      </c>
      <c r="H444" s="134">
        <f t="shared" si="246"/>
        <v>1553535</v>
      </c>
      <c r="I444" s="29">
        <f t="shared" si="246"/>
        <v>1553535</v>
      </c>
      <c r="J444" s="254"/>
      <c r="M444" s="256"/>
      <c r="N444" s="256"/>
      <c r="O444" s="256"/>
      <c r="P444" s="330"/>
      <c r="AE444" s="54"/>
      <c r="AF444" s="54"/>
    </row>
    <row r="445" spans="1:32">
      <c r="A445" s="144">
        <v>429</v>
      </c>
      <c r="B445" s="143" t="s">
        <v>67</v>
      </c>
      <c r="C445" s="34" t="s">
        <v>165</v>
      </c>
      <c r="D445" s="34" t="s">
        <v>116</v>
      </c>
      <c r="E445" s="34" t="s">
        <v>509</v>
      </c>
      <c r="F445" s="144">
        <v>610</v>
      </c>
      <c r="G445" s="134">
        <f>1153500+11535+384500+4000+0.36+297000</f>
        <v>1850535.36</v>
      </c>
      <c r="H445" s="134">
        <f>1153500+11535+384500+4000</f>
        <v>1553535</v>
      </c>
      <c r="I445" s="157">
        <f>1153500+1535+384500+4000+10000</f>
        <v>1553535</v>
      </c>
      <c r="J445" s="254"/>
      <c r="M445" s="256"/>
      <c r="N445" s="256"/>
      <c r="O445" s="256"/>
      <c r="P445" s="330"/>
      <c r="AE445" s="54"/>
      <c r="AF445" s="54"/>
    </row>
    <row r="446" spans="1:32" ht="60">
      <c r="A446" s="144">
        <v>430</v>
      </c>
      <c r="B446" s="143" t="s">
        <v>477</v>
      </c>
      <c r="C446" s="34" t="s">
        <v>165</v>
      </c>
      <c r="D446" s="34" t="s">
        <v>116</v>
      </c>
      <c r="E446" s="34" t="s">
        <v>478</v>
      </c>
      <c r="F446" s="144"/>
      <c r="G446" s="134">
        <f>G447</f>
        <v>12187831.84</v>
      </c>
      <c r="H446" s="134">
        <f t="shared" ref="H446:I447" si="247">H447</f>
        <v>0</v>
      </c>
      <c r="I446" s="29">
        <f t="shared" si="247"/>
        <v>0</v>
      </c>
      <c r="J446" s="254"/>
      <c r="M446" s="256"/>
      <c r="N446" s="256"/>
      <c r="O446" s="256"/>
      <c r="P446" s="330"/>
      <c r="AE446" s="54"/>
      <c r="AF446" s="54"/>
    </row>
    <row r="447" spans="1:32" ht="30">
      <c r="A447" s="144">
        <v>431</v>
      </c>
      <c r="B447" s="143" t="s">
        <v>49</v>
      </c>
      <c r="C447" s="34" t="s">
        <v>165</v>
      </c>
      <c r="D447" s="34" t="s">
        <v>116</v>
      </c>
      <c r="E447" s="34" t="s">
        <v>478</v>
      </c>
      <c r="F447" s="144">
        <v>600</v>
      </c>
      <c r="G447" s="134">
        <f>G448</f>
        <v>12187831.84</v>
      </c>
      <c r="H447" s="134">
        <f t="shared" si="247"/>
        <v>0</v>
      </c>
      <c r="I447" s="29">
        <f t="shared" si="247"/>
        <v>0</v>
      </c>
      <c r="J447" s="254"/>
      <c r="M447" s="256"/>
      <c r="N447" s="256"/>
      <c r="O447" s="256"/>
      <c r="P447" s="330"/>
      <c r="AE447" s="54"/>
      <c r="AF447" s="54"/>
    </row>
    <row r="448" spans="1:32">
      <c r="A448" s="144">
        <v>432</v>
      </c>
      <c r="B448" s="143" t="s">
        <v>67</v>
      </c>
      <c r="C448" s="34" t="s">
        <v>165</v>
      </c>
      <c r="D448" s="34" t="s">
        <v>116</v>
      </c>
      <c r="E448" s="34" t="s">
        <v>478</v>
      </c>
      <c r="F448" s="144">
        <v>610</v>
      </c>
      <c r="G448" s="134">
        <f>117059.6+63613+91361.6+9882099.64+304360+289238+1440100</f>
        <v>12187831.84</v>
      </c>
      <c r="H448" s="134">
        <v>0</v>
      </c>
      <c r="I448" s="157">
        <v>0</v>
      </c>
      <c r="J448" s="245">
        <v>1440100</v>
      </c>
      <c r="M448" s="256"/>
      <c r="N448" s="256"/>
      <c r="O448" s="256"/>
      <c r="P448" s="330"/>
      <c r="AE448" s="54"/>
      <c r="AF448" s="54"/>
    </row>
    <row r="449" spans="1:32" ht="112.5" customHeight="1">
      <c r="A449" s="144">
        <v>433</v>
      </c>
      <c r="B449" s="307" t="s">
        <v>333</v>
      </c>
      <c r="C449" s="34">
        <v>951</v>
      </c>
      <c r="D449" s="34" t="s">
        <v>116</v>
      </c>
      <c r="E449" s="34" t="s">
        <v>196</v>
      </c>
      <c r="F449" s="144"/>
      <c r="G449" s="134">
        <f t="shared" ref="G449" si="248">G450</f>
        <v>42818200</v>
      </c>
      <c r="H449" s="134">
        <f t="shared" ref="H449:I449" si="249">H450</f>
        <v>39876300</v>
      </c>
      <c r="I449" s="29">
        <f t="shared" si="249"/>
        <v>39876300</v>
      </c>
      <c r="J449" s="254"/>
      <c r="M449" s="256"/>
      <c r="N449" s="256"/>
      <c r="O449" s="256"/>
      <c r="P449" s="330"/>
      <c r="AE449" s="54"/>
      <c r="AF449" s="54"/>
    </row>
    <row r="450" spans="1:32" ht="30">
      <c r="A450" s="144">
        <v>434</v>
      </c>
      <c r="B450" s="143" t="s">
        <v>49</v>
      </c>
      <c r="C450" s="34">
        <v>951</v>
      </c>
      <c r="D450" s="34" t="s">
        <v>116</v>
      </c>
      <c r="E450" s="34" t="s">
        <v>196</v>
      </c>
      <c r="F450" s="144">
        <v>600</v>
      </c>
      <c r="G450" s="134">
        <f t="shared" ref="G450" si="250">G451</f>
        <v>42818200</v>
      </c>
      <c r="H450" s="134">
        <f t="shared" ref="H450:I450" si="251">H451</f>
        <v>39876300</v>
      </c>
      <c r="I450" s="29">
        <f t="shared" si="251"/>
        <v>39876300</v>
      </c>
      <c r="J450" s="254"/>
      <c r="M450" s="256"/>
      <c r="N450" s="256"/>
      <c r="O450" s="256"/>
      <c r="P450" s="330"/>
      <c r="AE450" s="54"/>
      <c r="AF450" s="54"/>
    </row>
    <row r="451" spans="1:32">
      <c r="A451" s="144">
        <v>435</v>
      </c>
      <c r="B451" s="143" t="s">
        <v>67</v>
      </c>
      <c r="C451" s="34">
        <v>951</v>
      </c>
      <c r="D451" s="34" t="s">
        <v>116</v>
      </c>
      <c r="E451" s="34" t="s">
        <v>196</v>
      </c>
      <c r="F451" s="144">
        <v>610</v>
      </c>
      <c r="G451" s="134">
        <f>39876300+2715200+226700</f>
        <v>42818200</v>
      </c>
      <c r="H451" s="134">
        <v>39876300</v>
      </c>
      <c r="I451" s="157">
        <v>39876300</v>
      </c>
      <c r="J451" s="245">
        <v>226700</v>
      </c>
      <c r="M451" s="256"/>
      <c r="N451" s="256"/>
      <c r="O451" s="256"/>
      <c r="P451" s="330"/>
      <c r="AE451" s="54"/>
      <c r="AF451" s="54"/>
    </row>
    <row r="452" spans="1:32" ht="105">
      <c r="A452" s="144">
        <v>436</v>
      </c>
      <c r="B452" s="307" t="s">
        <v>334</v>
      </c>
      <c r="C452" s="34">
        <v>951</v>
      </c>
      <c r="D452" s="34" t="s">
        <v>116</v>
      </c>
      <c r="E452" s="34" t="s">
        <v>197</v>
      </c>
      <c r="F452" s="144"/>
      <c r="G452" s="134">
        <f t="shared" ref="G452:I453" si="252">G453</f>
        <v>60738300</v>
      </c>
      <c r="H452" s="134">
        <f t="shared" si="252"/>
        <v>54927800</v>
      </c>
      <c r="I452" s="29">
        <f t="shared" si="252"/>
        <v>54927800</v>
      </c>
      <c r="M452" s="256"/>
      <c r="N452" s="256"/>
      <c r="O452" s="256"/>
      <c r="P452" s="330"/>
      <c r="AE452" s="54"/>
      <c r="AF452" s="54"/>
    </row>
    <row r="453" spans="1:32" ht="30">
      <c r="A453" s="144">
        <v>437</v>
      </c>
      <c r="B453" s="143" t="s">
        <v>49</v>
      </c>
      <c r="C453" s="34">
        <v>951</v>
      </c>
      <c r="D453" s="34" t="s">
        <v>116</v>
      </c>
      <c r="E453" s="34" t="s">
        <v>197</v>
      </c>
      <c r="F453" s="144">
        <v>600</v>
      </c>
      <c r="G453" s="134">
        <f t="shared" ref="G453" si="253">G454</f>
        <v>60738300</v>
      </c>
      <c r="H453" s="134">
        <f t="shared" si="252"/>
        <v>54927800</v>
      </c>
      <c r="I453" s="29">
        <f t="shared" si="252"/>
        <v>54927800</v>
      </c>
      <c r="M453" s="256"/>
      <c r="N453" s="256"/>
      <c r="O453" s="256"/>
      <c r="P453" s="330"/>
      <c r="AE453" s="54"/>
      <c r="AF453" s="54"/>
    </row>
    <row r="454" spans="1:32">
      <c r="A454" s="144">
        <v>438</v>
      </c>
      <c r="B454" s="143" t="s">
        <v>67</v>
      </c>
      <c r="C454" s="34">
        <v>951</v>
      </c>
      <c r="D454" s="34" t="s">
        <v>116</v>
      </c>
      <c r="E454" s="34" t="s">
        <v>197</v>
      </c>
      <c r="F454" s="144">
        <v>610</v>
      </c>
      <c r="G454" s="134">
        <f>54927800+3054900+2755600</f>
        <v>60738300</v>
      </c>
      <c r="H454" s="134">
        <v>54927800</v>
      </c>
      <c r="I454" s="157">
        <v>54927800</v>
      </c>
      <c r="J454" s="245">
        <v>2755600</v>
      </c>
      <c r="M454" s="256"/>
      <c r="N454" s="256"/>
      <c r="O454" s="256"/>
      <c r="P454" s="330"/>
      <c r="AE454" s="54"/>
      <c r="AF454" s="54"/>
    </row>
    <row r="455" spans="1:32" ht="105">
      <c r="A455" s="144">
        <v>439</v>
      </c>
      <c r="B455" s="314" t="s">
        <v>335</v>
      </c>
      <c r="C455" s="34">
        <v>951</v>
      </c>
      <c r="D455" s="34" t="s">
        <v>116</v>
      </c>
      <c r="E455" s="34" t="s">
        <v>198</v>
      </c>
      <c r="F455" s="144"/>
      <c r="G455" s="134">
        <f t="shared" ref="G455:I456" si="254">G456</f>
        <v>367200</v>
      </c>
      <c r="H455" s="134">
        <f t="shared" si="254"/>
        <v>367200</v>
      </c>
      <c r="I455" s="29">
        <f t="shared" si="254"/>
        <v>367200</v>
      </c>
      <c r="M455" s="256"/>
      <c r="N455" s="256"/>
      <c r="O455" s="256"/>
      <c r="P455" s="330"/>
      <c r="AE455" s="54"/>
      <c r="AF455" s="54"/>
    </row>
    <row r="456" spans="1:32" ht="30">
      <c r="A456" s="144">
        <v>440</v>
      </c>
      <c r="B456" s="143" t="s">
        <v>49</v>
      </c>
      <c r="C456" s="34">
        <v>951</v>
      </c>
      <c r="D456" s="34" t="s">
        <v>116</v>
      </c>
      <c r="E456" s="34" t="s">
        <v>198</v>
      </c>
      <c r="F456" s="144">
        <v>600</v>
      </c>
      <c r="G456" s="134">
        <f t="shared" ref="G456" si="255">G457</f>
        <v>367200</v>
      </c>
      <c r="H456" s="134">
        <f t="shared" si="254"/>
        <v>367200</v>
      </c>
      <c r="I456" s="29">
        <f t="shared" si="254"/>
        <v>367200</v>
      </c>
      <c r="M456" s="256"/>
      <c r="N456" s="256"/>
      <c r="O456" s="256"/>
      <c r="P456" s="330"/>
      <c r="AE456" s="54"/>
      <c r="AF456" s="54"/>
    </row>
    <row r="457" spans="1:32">
      <c r="A457" s="144">
        <v>441</v>
      </c>
      <c r="B457" s="143" t="s">
        <v>67</v>
      </c>
      <c r="C457" s="34">
        <v>951</v>
      </c>
      <c r="D457" s="34" t="s">
        <v>116</v>
      </c>
      <c r="E457" s="34" t="s">
        <v>198</v>
      </c>
      <c r="F457" s="144">
        <v>610</v>
      </c>
      <c r="G457" s="134">
        <v>367200</v>
      </c>
      <c r="H457" s="134">
        <v>367200</v>
      </c>
      <c r="I457" s="224">
        <v>367200</v>
      </c>
      <c r="M457" s="256"/>
      <c r="N457" s="256"/>
      <c r="O457" s="256"/>
      <c r="P457" s="330"/>
      <c r="AE457" s="54"/>
      <c r="AF457" s="54"/>
    </row>
    <row r="458" spans="1:32" ht="60" customHeight="1">
      <c r="A458" s="144">
        <v>442</v>
      </c>
      <c r="B458" s="143" t="s">
        <v>582</v>
      </c>
      <c r="C458" s="34" t="s">
        <v>165</v>
      </c>
      <c r="D458" s="34" t="s">
        <v>116</v>
      </c>
      <c r="E458" s="34" t="s">
        <v>570</v>
      </c>
      <c r="F458" s="144"/>
      <c r="G458" s="134">
        <f>G459</f>
        <v>400000</v>
      </c>
      <c r="H458" s="134">
        <f t="shared" ref="H458:I459" si="256">H459</f>
        <v>0</v>
      </c>
      <c r="I458" s="29">
        <f t="shared" si="256"/>
        <v>0</v>
      </c>
      <c r="M458" s="256"/>
      <c r="N458" s="256"/>
      <c r="O458" s="256"/>
      <c r="P458" s="330"/>
      <c r="AE458" s="54"/>
      <c r="AF458" s="54"/>
    </row>
    <row r="459" spans="1:32" ht="30">
      <c r="A459" s="144">
        <v>443</v>
      </c>
      <c r="B459" s="143" t="s">
        <v>551</v>
      </c>
      <c r="C459" s="34" t="s">
        <v>165</v>
      </c>
      <c r="D459" s="34" t="s">
        <v>116</v>
      </c>
      <c r="E459" s="34" t="s">
        <v>570</v>
      </c>
      <c r="F459" s="144">
        <v>600</v>
      </c>
      <c r="G459" s="134">
        <f>G460</f>
        <v>400000</v>
      </c>
      <c r="H459" s="134">
        <f t="shared" si="256"/>
        <v>0</v>
      </c>
      <c r="I459" s="29">
        <f t="shared" si="256"/>
        <v>0</v>
      </c>
      <c r="M459" s="256"/>
      <c r="N459" s="256"/>
      <c r="O459" s="256"/>
      <c r="P459" s="330"/>
      <c r="AE459" s="54"/>
      <c r="AF459" s="54"/>
    </row>
    <row r="460" spans="1:32">
      <c r="A460" s="144">
        <v>444</v>
      </c>
      <c r="B460" s="143" t="s">
        <v>559</v>
      </c>
      <c r="C460" s="34" t="s">
        <v>165</v>
      </c>
      <c r="D460" s="34" t="s">
        <v>116</v>
      </c>
      <c r="E460" s="34" t="s">
        <v>570</v>
      </c>
      <c r="F460" s="144">
        <v>610</v>
      </c>
      <c r="G460" s="134">
        <v>400000</v>
      </c>
      <c r="H460" s="134">
        <v>0</v>
      </c>
      <c r="I460" s="29">
        <v>0</v>
      </c>
      <c r="J460" s="254"/>
      <c r="M460" s="256"/>
      <c r="N460" s="256"/>
      <c r="O460" s="256"/>
      <c r="P460" s="330"/>
      <c r="AE460" s="54"/>
      <c r="AF460" s="54"/>
    </row>
    <row r="461" spans="1:32" ht="58.5" customHeight="1">
      <c r="A461" s="144">
        <v>445</v>
      </c>
      <c r="B461" s="143" t="s">
        <v>589</v>
      </c>
      <c r="C461" s="34" t="s">
        <v>165</v>
      </c>
      <c r="D461" s="34" t="s">
        <v>116</v>
      </c>
      <c r="E461" s="34" t="s">
        <v>590</v>
      </c>
      <c r="F461" s="144"/>
      <c r="G461" s="134">
        <f>G462</f>
        <v>0</v>
      </c>
      <c r="H461" s="134">
        <f t="shared" ref="H461:I462" si="257">H462</f>
        <v>3000000</v>
      </c>
      <c r="I461" s="29">
        <f t="shared" si="257"/>
        <v>0</v>
      </c>
      <c r="J461" s="254"/>
      <c r="M461" s="256"/>
      <c r="N461" s="256"/>
      <c r="O461" s="256"/>
      <c r="P461" s="330"/>
      <c r="AE461" s="54"/>
      <c r="AF461" s="54"/>
    </row>
    <row r="462" spans="1:32" ht="33" customHeight="1">
      <c r="A462" s="144">
        <v>446</v>
      </c>
      <c r="B462" s="143" t="s">
        <v>572</v>
      </c>
      <c r="C462" s="34" t="s">
        <v>165</v>
      </c>
      <c r="D462" s="34" t="s">
        <v>116</v>
      </c>
      <c r="E462" s="34" t="s">
        <v>590</v>
      </c>
      <c r="F462" s="144">
        <v>600</v>
      </c>
      <c r="G462" s="134">
        <f>G463</f>
        <v>0</v>
      </c>
      <c r="H462" s="134">
        <f t="shared" si="257"/>
        <v>3000000</v>
      </c>
      <c r="I462" s="29">
        <f t="shared" si="257"/>
        <v>0</v>
      </c>
      <c r="J462" s="254"/>
      <c r="K462" s="254"/>
      <c r="M462" s="256"/>
      <c r="N462" s="256"/>
      <c r="O462" s="256"/>
      <c r="P462" s="330"/>
      <c r="AE462" s="54"/>
      <c r="AF462" s="54"/>
    </row>
    <row r="463" spans="1:32">
      <c r="A463" s="144">
        <v>447</v>
      </c>
      <c r="B463" s="143" t="s">
        <v>67</v>
      </c>
      <c r="C463" s="34" t="s">
        <v>165</v>
      </c>
      <c r="D463" s="34" t="s">
        <v>116</v>
      </c>
      <c r="E463" s="34" t="s">
        <v>590</v>
      </c>
      <c r="F463" s="144">
        <v>610</v>
      </c>
      <c r="G463" s="134">
        <v>0</v>
      </c>
      <c r="H463" s="134">
        <v>3000000</v>
      </c>
      <c r="I463" s="29"/>
      <c r="J463" s="254"/>
      <c r="M463" s="256"/>
      <c r="N463" s="256"/>
      <c r="O463" s="256"/>
      <c r="P463" s="330"/>
      <c r="AE463" s="54"/>
      <c r="AF463" s="54"/>
    </row>
    <row r="464" spans="1:32">
      <c r="A464" s="144">
        <v>448</v>
      </c>
      <c r="B464" s="143" t="s">
        <v>275</v>
      </c>
      <c r="C464" s="34" t="s">
        <v>165</v>
      </c>
      <c r="D464" s="34" t="s">
        <v>116</v>
      </c>
      <c r="E464" s="34" t="s">
        <v>272</v>
      </c>
      <c r="F464" s="144"/>
      <c r="G464" s="134">
        <f>G465</f>
        <v>154325</v>
      </c>
      <c r="H464" s="134">
        <f>H465</f>
        <v>0</v>
      </c>
      <c r="I464" s="134">
        <f>I465</f>
        <v>0</v>
      </c>
      <c r="M464" s="256"/>
      <c r="N464" s="256"/>
      <c r="O464" s="256"/>
      <c r="P464" s="330"/>
      <c r="AE464" s="54"/>
      <c r="AF464" s="54"/>
    </row>
    <row r="465" spans="1:32">
      <c r="A465" s="144">
        <v>449</v>
      </c>
      <c r="B465" s="143" t="s">
        <v>555</v>
      </c>
      <c r="C465" s="34" t="s">
        <v>165</v>
      </c>
      <c r="D465" s="34" t="s">
        <v>116</v>
      </c>
      <c r="E465" s="34" t="s">
        <v>556</v>
      </c>
      <c r="F465" s="144"/>
      <c r="G465" s="134">
        <f>G466</f>
        <v>154325</v>
      </c>
      <c r="H465" s="134">
        <f t="shared" ref="H465:I467" si="258">H466</f>
        <v>0</v>
      </c>
      <c r="I465" s="134">
        <f t="shared" si="258"/>
        <v>0</v>
      </c>
      <c r="M465" s="256"/>
      <c r="N465" s="256"/>
      <c r="O465" s="256"/>
      <c r="P465" s="330"/>
      <c r="AE465" s="54"/>
      <c r="AF465" s="54"/>
    </row>
    <row r="466" spans="1:32" ht="60">
      <c r="A466" s="144">
        <v>450</v>
      </c>
      <c r="B466" s="143" t="s">
        <v>557</v>
      </c>
      <c r="C466" s="34" t="s">
        <v>165</v>
      </c>
      <c r="D466" s="34" t="s">
        <v>116</v>
      </c>
      <c r="E466" s="34" t="s">
        <v>558</v>
      </c>
      <c r="F466" s="144"/>
      <c r="G466" s="134">
        <f>G467</f>
        <v>154325</v>
      </c>
      <c r="H466" s="134">
        <f t="shared" si="258"/>
        <v>0</v>
      </c>
      <c r="I466" s="134">
        <f t="shared" si="258"/>
        <v>0</v>
      </c>
      <c r="M466" s="256"/>
      <c r="N466" s="256"/>
      <c r="O466" s="256"/>
      <c r="P466" s="330"/>
      <c r="AE466" s="54"/>
      <c r="AF466" s="54"/>
    </row>
    <row r="467" spans="1:32" ht="30">
      <c r="A467" s="144">
        <v>451</v>
      </c>
      <c r="B467" s="143" t="s">
        <v>49</v>
      </c>
      <c r="C467" s="34" t="s">
        <v>165</v>
      </c>
      <c r="D467" s="34" t="s">
        <v>116</v>
      </c>
      <c r="E467" s="34" t="s">
        <v>558</v>
      </c>
      <c r="F467" s="144">
        <v>600</v>
      </c>
      <c r="G467" s="134">
        <f>G468</f>
        <v>154325</v>
      </c>
      <c r="H467" s="134">
        <f t="shared" si="258"/>
        <v>0</v>
      </c>
      <c r="I467" s="134">
        <f t="shared" si="258"/>
        <v>0</v>
      </c>
      <c r="M467" s="256"/>
      <c r="N467" s="256"/>
      <c r="O467" s="256"/>
      <c r="P467" s="330"/>
      <c r="AE467" s="54"/>
      <c r="AF467" s="54"/>
    </row>
    <row r="468" spans="1:32">
      <c r="A468" s="144">
        <v>452</v>
      </c>
      <c r="B468" s="143" t="s">
        <v>559</v>
      </c>
      <c r="C468" s="34" t="s">
        <v>165</v>
      </c>
      <c r="D468" s="34" t="s">
        <v>116</v>
      </c>
      <c r="E468" s="34" t="s">
        <v>558</v>
      </c>
      <c r="F468" s="144">
        <v>610</v>
      </c>
      <c r="G468" s="134">
        <f>67125+87200</f>
        <v>154325</v>
      </c>
      <c r="H468" s="134">
        <v>0</v>
      </c>
      <c r="I468" s="134">
        <v>0</v>
      </c>
      <c r="J468" s="245">
        <v>87200</v>
      </c>
      <c r="M468" s="256"/>
      <c r="N468" s="256"/>
      <c r="O468" s="256"/>
      <c r="P468" s="330"/>
      <c r="AE468" s="54"/>
      <c r="AF468" s="54"/>
    </row>
    <row r="469" spans="1:32">
      <c r="A469" s="144">
        <v>453</v>
      </c>
      <c r="B469" s="298" t="s">
        <v>65</v>
      </c>
      <c r="C469" s="34">
        <v>951</v>
      </c>
      <c r="D469" s="34" t="s">
        <v>117</v>
      </c>
      <c r="E469" s="34"/>
      <c r="F469" s="144"/>
      <c r="G469" s="134">
        <f>G470+G522</f>
        <v>482199644.15000004</v>
      </c>
      <c r="H469" s="134">
        <f t="shared" ref="G469:I470" si="259">H470</f>
        <v>426585297</v>
      </c>
      <c r="I469" s="29">
        <f t="shared" si="259"/>
        <v>427103001.94</v>
      </c>
      <c r="M469" s="256"/>
      <c r="N469" s="256"/>
      <c r="O469" s="256"/>
      <c r="P469" s="330"/>
      <c r="AE469" s="54"/>
      <c r="AF469" s="54"/>
    </row>
    <row r="470" spans="1:32" ht="30">
      <c r="A470" s="144">
        <v>454</v>
      </c>
      <c r="B470" s="298" t="s">
        <v>54</v>
      </c>
      <c r="C470" s="34">
        <v>951</v>
      </c>
      <c r="D470" s="34" t="s">
        <v>117</v>
      </c>
      <c r="E470" s="34" t="s">
        <v>184</v>
      </c>
      <c r="F470" s="144"/>
      <c r="G470" s="134">
        <f t="shared" si="259"/>
        <v>481987169.15000004</v>
      </c>
      <c r="H470" s="134">
        <f t="shared" si="259"/>
        <v>426585297</v>
      </c>
      <c r="I470" s="29">
        <f t="shared" si="259"/>
        <v>427103001.94</v>
      </c>
      <c r="M470" s="256"/>
      <c r="N470" s="256"/>
      <c r="O470" s="256"/>
      <c r="P470" s="330"/>
      <c r="AE470" s="54"/>
      <c r="AF470" s="54"/>
    </row>
    <row r="471" spans="1:32">
      <c r="A471" s="144">
        <v>455</v>
      </c>
      <c r="B471" s="298" t="s">
        <v>136</v>
      </c>
      <c r="C471" s="34">
        <v>951</v>
      </c>
      <c r="D471" s="34" t="s">
        <v>117</v>
      </c>
      <c r="E471" s="34" t="s">
        <v>199</v>
      </c>
      <c r="F471" s="144"/>
      <c r="G471" s="134">
        <f>G472+G484+G487+G496+G499+G502+G517+G475+G493+G490+G481+G478+G505+G511+G508+G514</f>
        <v>481987169.15000004</v>
      </c>
      <c r="H471" s="134">
        <f t="shared" ref="H471:I471" si="260">H472+H484+H487+H496+H499+H502+H517+H475+H493+H490+H481+H478+H505</f>
        <v>426585297</v>
      </c>
      <c r="I471" s="29">
        <f t="shared" si="260"/>
        <v>427103001.94</v>
      </c>
      <c r="M471" s="256"/>
      <c r="N471" s="256"/>
      <c r="O471" s="256"/>
      <c r="P471" s="330"/>
      <c r="AE471" s="54"/>
      <c r="AF471" s="54"/>
    </row>
    <row r="472" spans="1:32" ht="45">
      <c r="A472" s="144">
        <v>456</v>
      </c>
      <c r="B472" s="143" t="s">
        <v>336</v>
      </c>
      <c r="C472" s="34">
        <v>951</v>
      </c>
      <c r="D472" s="34" t="s">
        <v>117</v>
      </c>
      <c r="E472" s="34" t="s">
        <v>200</v>
      </c>
      <c r="F472" s="144"/>
      <c r="G472" s="134">
        <f t="shared" ref="G472:I472" si="261">G473</f>
        <v>193108540</v>
      </c>
      <c r="H472" s="134">
        <f t="shared" si="261"/>
        <v>191793547</v>
      </c>
      <c r="I472" s="29">
        <f t="shared" si="261"/>
        <v>191773051.94</v>
      </c>
      <c r="M472" s="256"/>
      <c r="N472" s="256"/>
      <c r="O472" s="256"/>
      <c r="P472" s="330"/>
      <c r="AE472" s="54"/>
      <c r="AF472" s="54"/>
    </row>
    <row r="473" spans="1:32" ht="30">
      <c r="A473" s="144">
        <v>457</v>
      </c>
      <c r="B473" s="143" t="s">
        <v>49</v>
      </c>
      <c r="C473" s="34">
        <v>951</v>
      </c>
      <c r="D473" s="34" t="s">
        <v>117</v>
      </c>
      <c r="E473" s="34" t="s">
        <v>200</v>
      </c>
      <c r="F473" s="144">
        <v>600</v>
      </c>
      <c r="G473" s="134">
        <f t="shared" ref="G473" si="262">G474</f>
        <v>193108540</v>
      </c>
      <c r="H473" s="134">
        <f t="shared" ref="H473:I473" si="263">H474</f>
        <v>191793547</v>
      </c>
      <c r="I473" s="29">
        <f t="shared" si="263"/>
        <v>191773051.94</v>
      </c>
      <c r="J473" s="254"/>
      <c r="M473" s="256"/>
      <c r="N473" s="256"/>
      <c r="O473" s="256"/>
      <c r="P473" s="330"/>
      <c r="AE473" s="54"/>
      <c r="AF473" s="54"/>
    </row>
    <row r="474" spans="1:32">
      <c r="A474" s="144">
        <v>458</v>
      </c>
      <c r="B474" s="143" t="s">
        <v>67</v>
      </c>
      <c r="C474" s="34">
        <v>951</v>
      </c>
      <c r="D474" s="34" t="s">
        <v>117</v>
      </c>
      <c r="E474" s="34" t="s">
        <v>200</v>
      </c>
      <c r="F474" s="144">
        <v>610</v>
      </c>
      <c r="G474" s="134">
        <f>152625400+6325760+2192540+36045000-5390000+10240840+269000-8300000-900000</f>
        <v>193108540</v>
      </c>
      <c r="H474" s="134">
        <f>191798700-5153</f>
        <v>191793547</v>
      </c>
      <c r="I474" s="157">
        <f>191798700-25648.06</f>
        <v>191773051.94</v>
      </c>
      <c r="J474" s="335">
        <v>-900000</v>
      </c>
      <c r="M474" s="256"/>
      <c r="N474" s="256"/>
      <c r="O474" s="256"/>
      <c r="P474" s="330"/>
      <c r="AE474" s="54"/>
      <c r="AF474" s="54"/>
    </row>
    <row r="475" spans="1:32" ht="30">
      <c r="A475" s="144">
        <v>459</v>
      </c>
      <c r="B475" s="299" t="s">
        <v>467</v>
      </c>
      <c r="C475" s="34" t="s">
        <v>165</v>
      </c>
      <c r="D475" s="34" t="s">
        <v>117</v>
      </c>
      <c r="E475" s="34" t="s">
        <v>560</v>
      </c>
      <c r="F475" s="144"/>
      <c r="G475" s="134">
        <f>G476</f>
        <v>21005200</v>
      </c>
      <c r="H475" s="134">
        <f t="shared" ref="H475:I476" si="264">H476</f>
        <v>18701900</v>
      </c>
      <c r="I475" s="29">
        <f t="shared" si="264"/>
        <v>18701900</v>
      </c>
      <c r="M475" s="256"/>
      <c r="N475" s="256"/>
      <c r="O475" s="256"/>
      <c r="P475" s="330"/>
      <c r="AE475" s="54"/>
      <c r="AF475" s="54"/>
    </row>
    <row r="476" spans="1:32" ht="30">
      <c r="A476" s="144">
        <v>460</v>
      </c>
      <c r="B476" s="143" t="s">
        <v>49</v>
      </c>
      <c r="C476" s="34" t="s">
        <v>165</v>
      </c>
      <c r="D476" s="34" t="s">
        <v>117</v>
      </c>
      <c r="E476" s="34" t="s">
        <v>560</v>
      </c>
      <c r="F476" s="144">
        <v>600</v>
      </c>
      <c r="G476" s="134">
        <f>G477</f>
        <v>21005200</v>
      </c>
      <c r="H476" s="134">
        <f t="shared" si="264"/>
        <v>18701900</v>
      </c>
      <c r="I476" s="29">
        <f t="shared" si="264"/>
        <v>18701900</v>
      </c>
      <c r="M476" s="256"/>
      <c r="N476" s="256"/>
      <c r="O476" s="256"/>
      <c r="P476" s="330"/>
      <c r="AE476" s="54"/>
      <c r="AF476" s="54"/>
    </row>
    <row r="477" spans="1:32">
      <c r="A477" s="144">
        <v>461</v>
      </c>
      <c r="B477" s="143" t="s">
        <v>67</v>
      </c>
      <c r="C477" s="34" t="s">
        <v>165</v>
      </c>
      <c r="D477" s="34" t="s">
        <v>117</v>
      </c>
      <c r="E477" s="34" t="s">
        <v>560</v>
      </c>
      <c r="F477" s="144">
        <v>610</v>
      </c>
      <c r="G477" s="134">
        <f>18701900+2303300</f>
        <v>21005200</v>
      </c>
      <c r="H477" s="134">
        <v>18701900</v>
      </c>
      <c r="I477" s="157">
        <v>18701900</v>
      </c>
      <c r="J477" s="245">
        <v>2303300</v>
      </c>
      <c r="K477" s="254"/>
      <c r="L477" s="254"/>
      <c r="M477" s="256"/>
      <c r="N477" s="256"/>
      <c r="O477" s="256"/>
      <c r="P477" s="330"/>
      <c r="AE477" s="54"/>
      <c r="AF477" s="54"/>
    </row>
    <row r="478" spans="1:32" ht="75">
      <c r="A478" s="144">
        <v>462</v>
      </c>
      <c r="B478" s="299" t="s">
        <v>533</v>
      </c>
      <c r="C478" s="34" t="s">
        <v>165</v>
      </c>
      <c r="D478" s="34" t="s">
        <v>117</v>
      </c>
      <c r="E478" s="34" t="s">
        <v>534</v>
      </c>
      <c r="F478" s="144"/>
      <c r="G478" s="134">
        <f>G479</f>
        <v>2727273</v>
      </c>
      <c r="H478" s="134"/>
      <c r="I478" s="157"/>
      <c r="M478" s="256"/>
      <c r="N478" s="256"/>
      <c r="O478" s="256"/>
      <c r="P478" s="330"/>
      <c r="AE478" s="54"/>
      <c r="AF478" s="54"/>
    </row>
    <row r="479" spans="1:32" ht="30">
      <c r="A479" s="144">
        <v>463</v>
      </c>
      <c r="B479" s="143" t="s">
        <v>49</v>
      </c>
      <c r="C479" s="34" t="s">
        <v>165</v>
      </c>
      <c r="D479" s="34" t="s">
        <v>117</v>
      </c>
      <c r="E479" s="34" t="s">
        <v>534</v>
      </c>
      <c r="F479" s="144">
        <v>600</v>
      </c>
      <c r="G479" s="134">
        <f>G480</f>
        <v>2727273</v>
      </c>
      <c r="H479" s="134"/>
      <c r="I479" s="157"/>
      <c r="M479" s="256"/>
      <c r="N479" s="256"/>
      <c r="O479" s="256"/>
      <c r="P479" s="330"/>
      <c r="AE479" s="54"/>
      <c r="AF479" s="54"/>
    </row>
    <row r="480" spans="1:32">
      <c r="A480" s="144">
        <v>464</v>
      </c>
      <c r="B480" s="143" t="s">
        <v>67</v>
      </c>
      <c r="C480" s="34" t="s">
        <v>165</v>
      </c>
      <c r="D480" s="34" t="s">
        <v>117</v>
      </c>
      <c r="E480" s="34" t="s">
        <v>534</v>
      </c>
      <c r="F480" s="144">
        <v>610</v>
      </c>
      <c r="G480" s="134">
        <f>2700000+27273</f>
        <v>2727273</v>
      </c>
      <c r="H480" s="134">
        <v>0</v>
      </c>
      <c r="I480" s="157">
        <v>0</v>
      </c>
      <c r="M480" s="256"/>
      <c r="N480" s="256"/>
      <c r="O480" s="256"/>
      <c r="P480" s="330"/>
      <c r="AE480" s="54"/>
      <c r="AF480" s="54"/>
    </row>
    <row r="481" spans="1:32" ht="45">
      <c r="A481" s="144">
        <v>465</v>
      </c>
      <c r="B481" s="143" t="s">
        <v>512</v>
      </c>
      <c r="C481" s="34" t="s">
        <v>165</v>
      </c>
      <c r="D481" s="34" t="s">
        <v>117</v>
      </c>
      <c r="E481" s="34" t="s">
        <v>513</v>
      </c>
      <c r="F481" s="144"/>
      <c r="G481" s="134">
        <f>G482</f>
        <v>4060000</v>
      </c>
      <c r="H481" s="134">
        <f t="shared" ref="H481:I482" si="265">H482</f>
        <v>0</v>
      </c>
      <c r="I481" s="29">
        <f t="shared" si="265"/>
        <v>0</v>
      </c>
      <c r="M481" s="256"/>
      <c r="N481" s="256"/>
      <c r="O481" s="256"/>
      <c r="P481" s="330"/>
      <c r="AE481" s="54"/>
      <c r="AF481" s="54"/>
    </row>
    <row r="482" spans="1:32" ht="30">
      <c r="A482" s="144">
        <v>466</v>
      </c>
      <c r="B482" s="143" t="s">
        <v>49</v>
      </c>
      <c r="C482" s="34" t="s">
        <v>165</v>
      </c>
      <c r="D482" s="34" t="s">
        <v>117</v>
      </c>
      <c r="E482" s="34" t="s">
        <v>513</v>
      </c>
      <c r="F482" s="144">
        <v>600</v>
      </c>
      <c r="G482" s="134">
        <f>G483</f>
        <v>4060000</v>
      </c>
      <c r="H482" s="134">
        <f t="shared" si="265"/>
        <v>0</v>
      </c>
      <c r="I482" s="29">
        <f t="shared" si="265"/>
        <v>0</v>
      </c>
      <c r="M482" s="256"/>
      <c r="N482" s="256"/>
      <c r="O482" s="256"/>
      <c r="P482" s="330"/>
      <c r="AE482" s="54"/>
      <c r="AF482" s="54"/>
    </row>
    <row r="483" spans="1:32">
      <c r="A483" s="144">
        <v>467</v>
      </c>
      <c r="B483" s="143" t="s">
        <v>67</v>
      </c>
      <c r="C483" s="34" t="s">
        <v>165</v>
      </c>
      <c r="D483" s="34" t="s">
        <v>117</v>
      </c>
      <c r="E483" s="34" t="s">
        <v>513</v>
      </c>
      <c r="F483" s="144">
        <v>610</v>
      </c>
      <c r="G483" s="134">
        <f>160000+3900000</f>
        <v>4060000</v>
      </c>
      <c r="H483" s="134">
        <v>0</v>
      </c>
      <c r="I483" s="157">
        <v>0</v>
      </c>
      <c r="J483" s="254"/>
      <c r="M483" s="256"/>
      <c r="N483" s="256"/>
      <c r="O483" s="256"/>
      <c r="P483" s="330"/>
      <c r="AE483" s="54"/>
      <c r="AF483" s="54"/>
    </row>
    <row r="484" spans="1:32" ht="75">
      <c r="A484" s="144">
        <v>468</v>
      </c>
      <c r="B484" s="315" t="s">
        <v>337</v>
      </c>
      <c r="C484" s="34">
        <v>951</v>
      </c>
      <c r="D484" s="34" t="s">
        <v>117</v>
      </c>
      <c r="E484" s="34" t="s">
        <v>245</v>
      </c>
      <c r="F484" s="144"/>
      <c r="G484" s="134">
        <f t="shared" ref="G484:I484" si="266">G485</f>
        <v>3998000</v>
      </c>
      <c r="H484" s="134">
        <f t="shared" si="266"/>
        <v>3998000</v>
      </c>
      <c r="I484" s="29">
        <f t="shared" si="266"/>
        <v>3998000</v>
      </c>
      <c r="M484" s="256"/>
      <c r="N484" s="256"/>
      <c r="O484" s="256"/>
      <c r="P484" s="330"/>
      <c r="AE484" s="54"/>
      <c r="AF484" s="54"/>
    </row>
    <row r="485" spans="1:32" ht="30">
      <c r="A485" s="144">
        <v>469</v>
      </c>
      <c r="B485" s="143" t="s">
        <v>49</v>
      </c>
      <c r="C485" s="34">
        <v>951</v>
      </c>
      <c r="D485" s="34" t="s">
        <v>117</v>
      </c>
      <c r="E485" s="34" t="s">
        <v>245</v>
      </c>
      <c r="F485" s="144">
        <v>600</v>
      </c>
      <c r="G485" s="134">
        <f t="shared" ref="G485:I485" si="267">G486</f>
        <v>3998000</v>
      </c>
      <c r="H485" s="134">
        <f t="shared" si="267"/>
        <v>3998000</v>
      </c>
      <c r="I485" s="29">
        <f t="shared" si="267"/>
        <v>3998000</v>
      </c>
      <c r="M485" s="256"/>
      <c r="N485" s="256"/>
      <c r="O485" s="256"/>
      <c r="P485" s="330"/>
      <c r="AE485" s="54"/>
      <c r="AF485" s="54"/>
    </row>
    <row r="486" spans="1:32">
      <c r="A486" s="144">
        <v>470</v>
      </c>
      <c r="B486" s="143" t="s">
        <v>67</v>
      </c>
      <c r="C486" s="34">
        <v>951</v>
      </c>
      <c r="D486" s="34" t="s">
        <v>117</v>
      </c>
      <c r="E486" s="34" t="s">
        <v>245</v>
      </c>
      <c r="F486" s="144">
        <v>610</v>
      </c>
      <c r="G486" s="134">
        <v>3998000</v>
      </c>
      <c r="H486" s="134">
        <v>3998000</v>
      </c>
      <c r="I486" s="157">
        <v>3998000</v>
      </c>
      <c r="M486" s="256"/>
      <c r="N486" s="256"/>
      <c r="O486" s="256"/>
      <c r="P486" s="330"/>
      <c r="AE486" s="54"/>
      <c r="AF486" s="54"/>
    </row>
    <row r="487" spans="1:32" ht="109.5" customHeight="1">
      <c r="A487" s="144">
        <v>471</v>
      </c>
      <c r="B487" s="307" t="s">
        <v>338</v>
      </c>
      <c r="C487" s="34">
        <v>951</v>
      </c>
      <c r="D487" s="34" t="s">
        <v>117</v>
      </c>
      <c r="E487" s="34" t="s">
        <v>201</v>
      </c>
      <c r="F487" s="144"/>
      <c r="G487" s="134">
        <f t="shared" ref="G487:I488" si="268">G488</f>
        <v>41638100</v>
      </c>
      <c r="H487" s="134">
        <f t="shared" si="268"/>
        <v>42746900</v>
      </c>
      <c r="I487" s="29">
        <f t="shared" si="268"/>
        <v>42746900</v>
      </c>
      <c r="M487" s="256"/>
      <c r="N487" s="256"/>
      <c r="O487" s="256"/>
      <c r="P487" s="330"/>
      <c r="AE487" s="54"/>
      <c r="AF487" s="54"/>
    </row>
    <row r="488" spans="1:32" ht="30">
      <c r="A488" s="144">
        <v>472</v>
      </c>
      <c r="B488" s="143" t="s">
        <v>49</v>
      </c>
      <c r="C488" s="34">
        <v>951</v>
      </c>
      <c r="D488" s="34" t="s">
        <v>117</v>
      </c>
      <c r="E488" s="34" t="s">
        <v>201</v>
      </c>
      <c r="F488" s="144">
        <v>600</v>
      </c>
      <c r="G488" s="134">
        <f t="shared" si="268"/>
        <v>41638100</v>
      </c>
      <c r="H488" s="134">
        <f t="shared" si="268"/>
        <v>42746900</v>
      </c>
      <c r="I488" s="29">
        <f t="shared" si="268"/>
        <v>42746900</v>
      </c>
      <c r="M488" s="256"/>
      <c r="N488" s="256"/>
      <c r="O488" s="256"/>
      <c r="P488" s="330"/>
      <c r="AE488" s="54"/>
      <c r="AF488" s="54"/>
    </row>
    <row r="489" spans="1:32">
      <c r="A489" s="144">
        <v>473</v>
      </c>
      <c r="B489" s="143" t="s">
        <v>67</v>
      </c>
      <c r="C489" s="34">
        <v>951</v>
      </c>
      <c r="D489" s="34" t="s">
        <v>117</v>
      </c>
      <c r="E489" s="34" t="s">
        <v>201</v>
      </c>
      <c r="F489" s="144">
        <v>610</v>
      </c>
      <c r="G489" s="134">
        <f>42746900-1989400+880600</f>
        <v>41638100</v>
      </c>
      <c r="H489" s="134">
        <v>42746900</v>
      </c>
      <c r="I489" s="157">
        <v>42746900</v>
      </c>
      <c r="J489" s="245">
        <v>880600</v>
      </c>
      <c r="M489" s="256"/>
      <c r="N489" s="256"/>
      <c r="O489" s="256"/>
      <c r="P489" s="330"/>
      <c r="AE489" s="54"/>
      <c r="AF489" s="54"/>
    </row>
    <row r="490" spans="1:32" ht="60">
      <c r="A490" s="144">
        <v>474</v>
      </c>
      <c r="B490" s="299" t="s">
        <v>481</v>
      </c>
      <c r="C490" s="34" t="s">
        <v>165</v>
      </c>
      <c r="D490" s="34" t="s">
        <v>117</v>
      </c>
      <c r="E490" s="34" t="s">
        <v>482</v>
      </c>
      <c r="F490" s="144"/>
      <c r="G490" s="134">
        <f>G491</f>
        <v>0</v>
      </c>
      <c r="H490" s="134">
        <f t="shared" ref="H490:I491" si="269">H491</f>
        <v>0</v>
      </c>
      <c r="I490" s="29">
        <f t="shared" si="269"/>
        <v>0</v>
      </c>
      <c r="M490" s="256"/>
      <c r="N490" s="256"/>
      <c r="O490" s="256"/>
      <c r="P490" s="330"/>
      <c r="AE490" s="54"/>
      <c r="AF490" s="54"/>
    </row>
    <row r="491" spans="1:32" ht="30">
      <c r="A491" s="144">
        <v>475</v>
      </c>
      <c r="B491" s="143" t="s">
        <v>49</v>
      </c>
      <c r="C491" s="34" t="s">
        <v>165</v>
      </c>
      <c r="D491" s="34" t="s">
        <v>117</v>
      </c>
      <c r="E491" s="34" t="s">
        <v>482</v>
      </c>
      <c r="F491" s="144">
        <v>600</v>
      </c>
      <c r="G491" s="134">
        <f>G492</f>
        <v>0</v>
      </c>
      <c r="H491" s="134">
        <f t="shared" si="269"/>
        <v>0</v>
      </c>
      <c r="I491" s="29">
        <f t="shared" si="269"/>
        <v>0</v>
      </c>
      <c r="M491" s="256"/>
      <c r="N491" s="256"/>
      <c r="O491" s="256"/>
      <c r="P491" s="330"/>
      <c r="AE491" s="54"/>
      <c r="AF491" s="54"/>
    </row>
    <row r="492" spans="1:32">
      <c r="A492" s="144">
        <v>476</v>
      </c>
      <c r="B492" s="143" t="s">
        <v>67</v>
      </c>
      <c r="C492" s="34" t="s">
        <v>165</v>
      </c>
      <c r="D492" s="34" t="s">
        <v>117</v>
      </c>
      <c r="E492" s="34" t="s">
        <v>482</v>
      </c>
      <c r="F492" s="144">
        <v>610</v>
      </c>
      <c r="G492" s="134">
        <f>89238-89238</f>
        <v>0</v>
      </c>
      <c r="H492" s="134">
        <v>0</v>
      </c>
      <c r="I492" s="157">
        <v>0</v>
      </c>
      <c r="J492" s="254"/>
      <c r="M492" s="256"/>
      <c r="N492" s="256"/>
      <c r="O492" s="256"/>
      <c r="P492" s="330"/>
      <c r="AE492" s="54"/>
      <c r="AF492" s="54"/>
    </row>
    <row r="493" spans="1:32" ht="60">
      <c r="A493" s="144">
        <v>477</v>
      </c>
      <c r="B493" s="299" t="s">
        <v>479</v>
      </c>
      <c r="C493" s="34" t="s">
        <v>165</v>
      </c>
      <c r="D493" s="34" t="s">
        <v>117</v>
      </c>
      <c r="E493" s="34" t="s">
        <v>480</v>
      </c>
      <c r="F493" s="144"/>
      <c r="G493" s="134">
        <f>G494</f>
        <v>33912798.939999998</v>
      </c>
      <c r="H493" s="134">
        <f t="shared" ref="H493:I494" si="270">H494</f>
        <v>0</v>
      </c>
      <c r="I493" s="29">
        <f t="shared" si="270"/>
        <v>0</v>
      </c>
      <c r="M493" s="256"/>
      <c r="N493" s="256"/>
      <c r="O493" s="256"/>
      <c r="P493" s="330"/>
      <c r="AE493" s="54"/>
      <c r="AF493" s="54"/>
    </row>
    <row r="494" spans="1:32" ht="30">
      <c r="A494" s="144">
        <v>478</v>
      </c>
      <c r="B494" s="143" t="s">
        <v>49</v>
      </c>
      <c r="C494" s="34" t="s">
        <v>165</v>
      </c>
      <c r="D494" s="34" t="s">
        <v>117</v>
      </c>
      <c r="E494" s="34" t="s">
        <v>480</v>
      </c>
      <c r="F494" s="144">
        <v>600</v>
      </c>
      <c r="G494" s="134">
        <f>G495</f>
        <v>33912798.939999998</v>
      </c>
      <c r="H494" s="134">
        <f t="shared" si="270"/>
        <v>0</v>
      </c>
      <c r="I494" s="29">
        <f t="shared" si="270"/>
        <v>0</v>
      </c>
      <c r="M494" s="256"/>
      <c r="N494" s="256"/>
      <c r="O494" s="256"/>
      <c r="P494" s="330"/>
      <c r="AE494" s="54"/>
      <c r="AF494" s="54"/>
    </row>
    <row r="495" spans="1:32">
      <c r="A495" s="144">
        <v>479</v>
      </c>
      <c r="B495" s="143" t="s">
        <v>67</v>
      </c>
      <c r="C495" s="34" t="s">
        <v>165</v>
      </c>
      <c r="D495" s="34" t="s">
        <v>117</v>
      </c>
      <c r="E495" s="34" t="s">
        <v>480</v>
      </c>
      <c r="F495" s="144">
        <v>610</v>
      </c>
      <c r="G495" s="134">
        <f>310972.66+4624834+30785850-0.48-1808857.24</f>
        <v>33912798.939999998</v>
      </c>
      <c r="H495" s="134">
        <v>0</v>
      </c>
      <c r="I495" s="157">
        <v>0</v>
      </c>
      <c r="J495" s="335">
        <v>-1808857.24</v>
      </c>
      <c r="K495" s="339"/>
      <c r="M495" s="256"/>
      <c r="N495" s="256"/>
      <c r="O495" s="256"/>
      <c r="P495" s="330"/>
      <c r="AE495" s="54"/>
      <c r="AF495" s="54"/>
    </row>
    <row r="496" spans="1:32" s="54" customFormat="1" ht="60">
      <c r="A496" s="144">
        <v>480</v>
      </c>
      <c r="B496" s="299" t="s">
        <v>362</v>
      </c>
      <c r="C496" s="34" t="s">
        <v>165</v>
      </c>
      <c r="D496" s="34" t="s">
        <v>117</v>
      </c>
      <c r="E496" s="34" t="s">
        <v>363</v>
      </c>
      <c r="F496" s="144"/>
      <c r="G496" s="134">
        <f t="shared" ref="G496:I497" si="271">G497</f>
        <v>2201710</v>
      </c>
      <c r="H496" s="134">
        <f t="shared" si="271"/>
        <v>1843710</v>
      </c>
      <c r="I496" s="29">
        <f t="shared" si="271"/>
        <v>1843710</v>
      </c>
      <c r="M496" s="256"/>
      <c r="N496" s="256"/>
      <c r="O496" s="256"/>
      <c r="P496" s="330"/>
    </row>
    <row r="497" spans="1:32" s="54" customFormat="1" ht="30">
      <c r="A497" s="144">
        <v>481</v>
      </c>
      <c r="B497" s="143" t="s">
        <v>49</v>
      </c>
      <c r="C497" s="34" t="s">
        <v>165</v>
      </c>
      <c r="D497" s="34" t="s">
        <v>117</v>
      </c>
      <c r="E497" s="34" t="s">
        <v>363</v>
      </c>
      <c r="F497" s="144">
        <v>600</v>
      </c>
      <c r="G497" s="134">
        <f t="shared" si="271"/>
        <v>2201710</v>
      </c>
      <c r="H497" s="134">
        <f t="shared" si="271"/>
        <v>1843710</v>
      </c>
      <c r="I497" s="29">
        <f t="shared" si="271"/>
        <v>1843710</v>
      </c>
      <c r="M497" s="256"/>
      <c r="N497" s="256"/>
      <c r="O497" s="256"/>
      <c r="P497" s="330"/>
    </row>
    <row r="498" spans="1:32" s="54" customFormat="1">
      <c r="A498" s="144">
        <v>482</v>
      </c>
      <c r="B498" s="143" t="s">
        <v>67</v>
      </c>
      <c r="C498" s="34" t="s">
        <v>165</v>
      </c>
      <c r="D498" s="34" t="s">
        <v>117</v>
      </c>
      <c r="E498" s="34" t="s">
        <v>363</v>
      </c>
      <c r="F498" s="144">
        <v>610</v>
      </c>
      <c r="G498" s="134">
        <f>1790000+411710</f>
        <v>2201710</v>
      </c>
      <c r="H498" s="134">
        <f>1432000+411710</f>
        <v>1843710</v>
      </c>
      <c r="I498" s="157">
        <f>1432000+411710</f>
        <v>1843710</v>
      </c>
      <c r="M498" s="256"/>
      <c r="N498" s="256"/>
      <c r="O498" s="256"/>
      <c r="P498" s="330"/>
    </row>
    <row r="499" spans="1:32" ht="105">
      <c r="A499" s="144">
        <v>483</v>
      </c>
      <c r="B499" s="314" t="s">
        <v>339</v>
      </c>
      <c r="C499" s="34">
        <v>951</v>
      </c>
      <c r="D499" s="34" t="s">
        <v>117</v>
      </c>
      <c r="E499" s="34" t="s">
        <v>202</v>
      </c>
      <c r="F499" s="144"/>
      <c r="G499" s="134">
        <f t="shared" ref="G499:I500" si="272">G500</f>
        <v>165871300</v>
      </c>
      <c r="H499" s="134">
        <f t="shared" si="272"/>
        <v>164190700</v>
      </c>
      <c r="I499" s="29">
        <f t="shared" si="272"/>
        <v>164190700</v>
      </c>
      <c r="M499" s="256"/>
      <c r="N499" s="256"/>
      <c r="O499" s="256"/>
      <c r="P499" s="330"/>
      <c r="AE499" s="54"/>
      <c r="AF499" s="54"/>
    </row>
    <row r="500" spans="1:32" ht="30">
      <c r="A500" s="144">
        <v>484</v>
      </c>
      <c r="B500" s="143" t="s">
        <v>49</v>
      </c>
      <c r="C500" s="34">
        <v>951</v>
      </c>
      <c r="D500" s="34" t="s">
        <v>117</v>
      </c>
      <c r="E500" s="34" t="s">
        <v>202</v>
      </c>
      <c r="F500" s="144">
        <v>600</v>
      </c>
      <c r="G500" s="134">
        <f t="shared" si="272"/>
        <v>165871300</v>
      </c>
      <c r="H500" s="134">
        <f t="shared" si="272"/>
        <v>164190700</v>
      </c>
      <c r="I500" s="29">
        <f t="shared" si="272"/>
        <v>164190700</v>
      </c>
      <c r="M500" s="256"/>
      <c r="N500" s="256"/>
      <c r="O500" s="256"/>
      <c r="P500" s="330"/>
      <c r="AE500" s="54"/>
      <c r="AF500" s="54"/>
    </row>
    <row r="501" spans="1:32">
      <c r="A501" s="144">
        <v>485</v>
      </c>
      <c r="B501" s="143" t="s">
        <v>67</v>
      </c>
      <c r="C501" s="34">
        <v>951</v>
      </c>
      <c r="D501" s="34" t="s">
        <v>117</v>
      </c>
      <c r="E501" s="34" t="s">
        <v>202</v>
      </c>
      <c r="F501" s="144">
        <v>610</v>
      </c>
      <c r="G501" s="134">
        <f>167311436.78-3974436.78+2534300</f>
        <v>165871300</v>
      </c>
      <c r="H501" s="134">
        <f>164190636.78+63.22</f>
        <v>164190700</v>
      </c>
      <c r="I501" s="157">
        <f>164190636.78+63.22</f>
        <v>164190700</v>
      </c>
      <c r="J501" s="245">
        <v>2534300</v>
      </c>
      <c r="K501" s="245">
        <v>63.22</v>
      </c>
      <c r="L501" s="245">
        <v>63.22</v>
      </c>
      <c r="M501" s="255"/>
      <c r="N501" s="255"/>
      <c r="O501" s="256"/>
      <c r="P501" s="330"/>
      <c r="AE501" s="54"/>
      <c r="AF501" s="54"/>
    </row>
    <row r="502" spans="1:32" ht="93.75" customHeight="1">
      <c r="A502" s="144">
        <v>486</v>
      </c>
      <c r="B502" s="299" t="s">
        <v>581</v>
      </c>
      <c r="C502" s="34" t="s">
        <v>165</v>
      </c>
      <c r="D502" s="34" t="s">
        <v>117</v>
      </c>
      <c r="E502" s="34" t="s">
        <v>506</v>
      </c>
      <c r="F502" s="144"/>
      <c r="G502" s="134">
        <f>G503</f>
        <v>4435152.4800000004</v>
      </c>
      <c r="H502" s="134">
        <f t="shared" ref="H502:I502" si="273">H503</f>
        <v>0</v>
      </c>
      <c r="I502" s="29">
        <f t="shared" si="273"/>
        <v>0</v>
      </c>
      <c r="J502" s="254"/>
      <c r="K502" s="254"/>
      <c r="L502" s="254"/>
      <c r="M502" s="256"/>
      <c r="N502" s="256"/>
      <c r="O502" s="256"/>
      <c r="P502" s="330"/>
      <c r="AE502" s="54"/>
      <c r="AF502" s="54"/>
    </row>
    <row r="503" spans="1:32" ht="30">
      <c r="A503" s="144">
        <v>487</v>
      </c>
      <c r="B503" s="143" t="s">
        <v>49</v>
      </c>
      <c r="C503" s="34" t="s">
        <v>165</v>
      </c>
      <c r="D503" s="34" t="s">
        <v>117</v>
      </c>
      <c r="E503" s="34" t="s">
        <v>506</v>
      </c>
      <c r="F503" s="144">
        <v>600</v>
      </c>
      <c r="G503" s="134">
        <f>G504</f>
        <v>4435152.4800000004</v>
      </c>
      <c r="H503" s="134">
        <f t="shared" ref="H503:I503" si="274">H504</f>
        <v>0</v>
      </c>
      <c r="I503" s="29">
        <f t="shared" si="274"/>
        <v>0</v>
      </c>
      <c r="J503" s="254"/>
      <c r="K503" s="254"/>
      <c r="L503" s="254"/>
      <c r="M503" s="255"/>
      <c r="N503" s="255"/>
      <c r="O503" s="256"/>
      <c r="P503" s="330"/>
      <c r="AE503" s="54"/>
      <c r="AF503" s="54"/>
    </row>
    <row r="504" spans="1:32">
      <c r="A504" s="144">
        <v>488</v>
      </c>
      <c r="B504" s="143" t="s">
        <v>67</v>
      </c>
      <c r="C504" s="34" t="s">
        <v>165</v>
      </c>
      <c r="D504" s="34" t="s">
        <v>117</v>
      </c>
      <c r="E504" s="34" t="s">
        <v>506</v>
      </c>
      <c r="F504" s="144">
        <v>610</v>
      </c>
      <c r="G504" s="134">
        <f>4326400+42000+64400+2352+0.48</f>
        <v>4435152.4800000004</v>
      </c>
      <c r="H504" s="134">
        <v>0</v>
      </c>
      <c r="I504" s="157">
        <v>0</v>
      </c>
      <c r="J504" s="254"/>
      <c r="K504" s="254"/>
      <c r="L504" s="254"/>
      <c r="M504" s="255"/>
      <c r="N504" s="255"/>
      <c r="O504" s="256"/>
      <c r="P504" s="330"/>
      <c r="AE504" s="54"/>
      <c r="AF504" s="54"/>
    </row>
    <row r="505" spans="1:32" ht="42.75" customHeight="1">
      <c r="A505" s="144">
        <v>489</v>
      </c>
      <c r="B505" s="143" t="s">
        <v>566</v>
      </c>
      <c r="C505" s="34" t="s">
        <v>165</v>
      </c>
      <c r="D505" s="34" t="s">
        <v>117</v>
      </c>
      <c r="E505" s="34" t="s">
        <v>565</v>
      </c>
      <c r="F505" s="144"/>
      <c r="G505" s="134">
        <f>G506</f>
        <v>2830540</v>
      </c>
      <c r="H505" s="134">
        <f t="shared" ref="H505:I506" si="275">H506</f>
        <v>2830540</v>
      </c>
      <c r="I505" s="29">
        <f t="shared" si="275"/>
        <v>3368740</v>
      </c>
      <c r="J505" s="254"/>
      <c r="K505" s="254"/>
      <c r="L505" s="254"/>
      <c r="M505" s="255"/>
      <c r="N505" s="255"/>
      <c r="O505" s="256"/>
      <c r="P505" s="330"/>
      <c r="AE505" s="54"/>
      <c r="AF505" s="54"/>
    </row>
    <row r="506" spans="1:32" ht="30">
      <c r="A506" s="144">
        <v>490</v>
      </c>
      <c r="B506" s="143" t="s">
        <v>551</v>
      </c>
      <c r="C506" s="34" t="s">
        <v>165</v>
      </c>
      <c r="D506" s="34" t="s">
        <v>117</v>
      </c>
      <c r="E506" s="34" t="s">
        <v>565</v>
      </c>
      <c r="F506" s="144">
        <v>600</v>
      </c>
      <c r="G506" s="134">
        <f>G507</f>
        <v>2830540</v>
      </c>
      <c r="H506" s="134">
        <f t="shared" si="275"/>
        <v>2830540</v>
      </c>
      <c r="I506" s="29">
        <f t="shared" si="275"/>
        <v>3368740</v>
      </c>
      <c r="J506" s="254"/>
      <c r="K506" s="254"/>
      <c r="L506" s="254"/>
      <c r="M506" s="255"/>
      <c r="N506" s="255"/>
      <c r="O506" s="256"/>
      <c r="P506" s="330"/>
      <c r="AE506" s="54"/>
      <c r="AF506" s="54"/>
    </row>
    <row r="507" spans="1:32">
      <c r="A507" s="144">
        <v>491</v>
      </c>
      <c r="B507" s="143" t="s">
        <v>559</v>
      </c>
      <c r="C507" s="34" t="s">
        <v>165</v>
      </c>
      <c r="D507" s="34" t="s">
        <v>117</v>
      </c>
      <c r="E507" s="34" t="s">
        <v>565</v>
      </c>
      <c r="F507" s="144">
        <v>610</v>
      </c>
      <c r="G507" s="134">
        <f>2577430+253110</f>
        <v>2830540</v>
      </c>
      <c r="H507" s="134">
        <f>2577430+253110</f>
        <v>2830540</v>
      </c>
      <c r="I507" s="157">
        <f>3115630+253110</f>
        <v>3368740</v>
      </c>
      <c r="J507" s="245">
        <v>253110</v>
      </c>
      <c r="K507" s="245">
        <v>253110</v>
      </c>
      <c r="L507" s="245">
        <v>253110</v>
      </c>
      <c r="M507" s="255"/>
      <c r="N507" s="255"/>
      <c r="O507" s="256"/>
      <c r="P507" s="330"/>
      <c r="AE507" s="54"/>
      <c r="AF507" s="54"/>
    </row>
    <row r="508" spans="1:32" ht="50.25" customHeight="1">
      <c r="A508" s="144">
        <v>492</v>
      </c>
      <c r="B508" s="143" t="s">
        <v>584</v>
      </c>
      <c r="C508" s="34" t="s">
        <v>165</v>
      </c>
      <c r="D508" s="34" t="s">
        <v>117</v>
      </c>
      <c r="E508" s="34" t="s">
        <v>575</v>
      </c>
      <c r="F508" s="144"/>
      <c r="G508" s="134">
        <f>G509</f>
        <v>4518554.7300000004</v>
      </c>
      <c r="H508" s="134">
        <f t="shared" ref="H508:I509" si="276">H509</f>
        <v>0</v>
      </c>
      <c r="I508" s="29">
        <f t="shared" si="276"/>
        <v>0</v>
      </c>
      <c r="J508" s="254"/>
      <c r="K508" s="254"/>
      <c r="L508" s="254"/>
      <c r="M508" s="255"/>
      <c r="N508" s="255"/>
      <c r="O508" s="256"/>
      <c r="P508" s="330"/>
      <c r="AE508" s="54"/>
      <c r="AF508" s="54"/>
    </row>
    <row r="509" spans="1:32" ht="30">
      <c r="A509" s="144">
        <v>493</v>
      </c>
      <c r="B509" s="143" t="s">
        <v>572</v>
      </c>
      <c r="C509" s="34" t="s">
        <v>165</v>
      </c>
      <c r="D509" s="34" t="s">
        <v>117</v>
      </c>
      <c r="E509" s="34" t="s">
        <v>575</v>
      </c>
      <c r="F509" s="144">
        <v>600</v>
      </c>
      <c r="G509" s="134">
        <f>G510</f>
        <v>4518554.7300000004</v>
      </c>
      <c r="H509" s="134">
        <f t="shared" si="276"/>
        <v>0</v>
      </c>
      <c r="I509" s="29">
        <f t="shared" si="276"/>
        <v>0</v>
      </c>
      <c r="J509" s="254"/>
      <c r="K509" s="254"/>
      <c r="L509" s="254"/>
      <c r="M509" s="255"/>
      <c r="N509" s="255"/>
      <c r="O509" s="256"/>
      <c r="P509" s="330"/>
      <c r="AE509" s="54"/>
      <c r="AF509" s="54"/>
    </row>
    <row r="510" spans="1:32">
      <c r="A510" s="144">
        <v>494</v>
      </c>
      <c r="B510" s="143" t="s">
        <v>573</v>
      </c>
      <c r="C510" s="34" t="s">
        <v>165</v>
      </c>
      <c r="D510" s="34" t="s">
        <v>117</v>
      </c>
      <c r="E510" s="34" t="s">
        <v>575</v>
      </c>
      <c r="F510" s="144">
        <v>610</v>
      </c>
      <c r="G510" s="134">
        <f>3860720+657834.73</f>
        <v>4518554.7300000004</v>
      </c>
      <c r="H510" s="134">
        <v>0</v>
      </c>
      <c r="I510" s="157">
        <v>0</v>
      </c>
      <c r="J510" s="339">
        <v>657834.73</v>
      </c>
      <c r="K510" s="254"/>
      <c r="L510" s="254"/>
      <c r="M510" s="255"/>
      <c r="N510" s="255"/>
      <c r="O510" s="256"/>
      <c r="P510" s="330"/>
      <c r="AE510" s="54"/>
      <c r="AF510" s="54"/>
    </row>
    <row r="511" spans="1:32" ht="48.75" customHeight="1">
      <c r="A511" s="144">
        <v>495</v>
      </c>
      <c r="B511" s="143" t="s">
        <v>583</v>
      </c>
      <c r="C511" s="34" t="s">
        <v>165</v>
      </c>
      <c r="D511" s="34" t="s">
        <v>117</v>
      </c>
      <c r="E511" s="34" t="s">
        <v>571</v>
      </c>
      <c r="F511" s="144"/>
      <c r="G511" s="134">
        <f>G512</f>
        <v>800000</v>
      </c>
      <c r="H511" s="134">
        <f t="shared" ref="H511:I512" si="277">H512</f>
        <v>0</v>
      </c>
      <c r="I511" s="29">
        <f t="shared" si="277"/>
        <v>0</v>
      </c>
      <c r="J511" s="254"/>
      <c r="K511" s="254"/>
      <c r="L511" s="254"/>
      <c r="M511" s="255"/>
      <c r="N511" s="255"/>
      <c r="O511" s="256"/>
      <c r="P511" s="330"/>
      <c r="AE511" s="54"/>
      <c r="AF511" s="54"/>
    </row>
    <row r="512" spans="1:32" ht="30">
      <c r="A512" s="144">
        <v>496</v>
      </c>
      <c r="B512" s="143" t="s">
        <v>49</v>
      </c>
      <c r="C512" s="34" t="s">
        <v>165</v>
      </c>
      <c r="D512" s="34" t="s">
        <v>117</v>
      </c>
      <c r="E512" s="34" t="s">
        <v>571</v>
      </c>
      <c r="F512" s="144">
        <v>600</v>
      </c>
      <c r="G512" s="134">
        <f>G513</f>
        <v>800000</v>
      </c>
      <c r="H512" s="134">
        <f t="shared" si="277"/>
        <v>0</v>
      </c>
      <c r="I512" s="29">
        <f t="shared" si="277"/>
        <v>0</v>
      </c>
      <c r="J512" s="254"/>
      <c r="K512" s="254"/>
      <c r="L512" s="254"/>
      <c r="M512" s="255"/>
      <c r="N512" s="255"/>
      <c r="O512" s="256"/>
      <c r="P512" s="330"/>
      <c r="AE512" s="54"/>
      <c r="AF512" s="54"/>
    </row>
    <row r="513" spans="1:32">
      <c r="A513" s="144">
        <v>497</v>
      </c>
      <c r="B513" s="143" t="s">
        <v>573</v>
      </c>
      <c r="C513" s="34" t="s">
        <v>165</v>
      </c>
      <c r="D513" s="34" t="s">
        <v>117</v>
      </c>
      <c r="E513" s="34" t="s">
        <v>571</v>
      </c>
      <c r="F513" s="144">
        <v>610</v>
      </c>
      <c r="G513" s="134">
        <v>800000</v>
      </c>
      <c r="H513" s="134">
        <v>0</v>
      </c>
      <c r="I513" s="157">
        <v>0</v>
      </c>
      <c r="J513" s="254"/>
      <c r="K513" s="254"/>
      <c r="L513" s="254"/>
      <c r="M513" s="255"/>
      <c r="N513" s="255"/>
      <c r="O513" s="256"/>
      <c r="P513" s="330"/>
      <c r="AE513" s="54"/>
      <c r="AF513" s="54"/>
    </row>
    <row r="514" spans="1:32" ht="62.25" customHeight="1">
      <c r="A514" s="144">
        <v>498</v>
      </c>
      <c r="B514" s="143" t="s">
        <v>577</v>
      </c>
      <c r="C514" s="34" t="s">
        <v>165</v>
      </c>
      <c r="D514" s="34" t="s">
        <v>117</v>
      </c>
      <c r="E514" s="34" t="s">
        <v>576</v>
      </c>
      <c r="F514" s="144"/>
      <c r="G514" s="134">
        <f>G515</f>
        <v>400000</v>
      </c>
      <c r="H514" s="134">
        <f t="shared" ref="H514:I515" si="278">H515</f>
        <v>0</v>
      </c>
      <c r="I514" s="29">
        <f t="shared" si="278"/>
        <v>0</v>
      </c>
      <c r="J514" s="254"/>
      <c r="K514" s="254"/>
      <c r="L514" s="254"/>
      <c r="M514" s="255"/>
      <c r="N514" s="255"/>
      <c r="O514" s="256"/>
      <c r="P514" s="330"/>
      <c r="AE514" s="54"/>
      <c r="AF514" s="54"/>
    </row>
    <row r="515" spans="1:32" ht="36.75" customHeight="1">
      <c r="A515" s="144">
        <v>499</v>
      </c>
      <c r="B515" s="143" t="s">
        <v>578</v>
      </c>
      <c r="C515" s="34" t="s">
        <v>165</v>
      </c>
      <c r="D515" s="34" t="s">
        <v>117</v>
      </c>
      <c r="E515" s="34" t="s">
        <v>576</v>
      </c>
      <c r="F515" s="144">
        <v>600</v>
      </c>
      <c r="G515" s="134">
        <f>G516</f>
        <v>400000</v>
      </c>
      <c r="H515" s="134">
        <f t="shared" si="278"/>
        <v>0</v>
      </c>
      <c r="I515" s="29">
        <f t="shared" si="278"/>
        <v>0</v>
      </c>
      <c r="J515" s="254"/>
      <c r="K515" s="254"/>
      <c r="L515" s="254"/>
      <c r="M515" s="255"/>
      <c r="N515" s="255"/>
      <c r="O515" s="256"/>
      <c r="P515" s="330"/>
      <c r="AE515" s="54"/>
      <c r="AF515" s="54"/>
    </row>
    <row r="516" spans="1:32">
      <c r="A516" s="144">
        <v>500</v>
      </c>
      <c r="B516" s="143" t="s">
        <v>67</v>
      </c>
      <c r="C516" s="34" t="s">
        <v>165</v>
      </c>
      <c r="D516" s="34" t="s">
        <v>117</v>
      </c>
      <c r="E516" s="34" t="s">
        <v>576</v>
      </c>
      <c r="F516" s="144">
        <v>610</v>
      </c>
      <c r="G516" s="134">
        <v>400000</v>
      </c>
      <c r="H516" s="134">
        <v>0</v>
      </c>
      <c r="I516" s="157">
        <v>0</v>
      </c>
      <c r="J516" s="254"/>
      <c r="K516" s="254"/>
      <c r="L516" s="254"/>
      <c r="M516" s="255"/>
      <c r="N516" s="255"/>
      <c r="O516" s="256"/>
      <c r="P516" s="330"/>
      <c r="AE516" s="54"/>
      <c r="AF516" s="54"/>
    </row>
    <row r="517" spans="1:32" ht="45">
      <c r="A517" s="144">
        <v>501</v>
      </c>
      <c r="B517" s="299" t="s">
        <v>457</v>
      </c>
      <c r="C517" s="34" t="s">
        <v>165</v>
      </c>
      <c r="D517" s="34" t="s">
        <v>117</v>
      </c>
      <c r="E517" s="34" t="s">
        <v>458</v>
      </c>
      <c r="F517" s="144"/>
      <c r="G517" s="134">
        <f t="shared" ref="G517:I518" si="279">G518</f>
        <v>480000</v>
      </c>
      <c r="H517" s="134">
        <f t="shared" si="279"/>
        <v>480000</v>
      </c>
      <c r="I517" s="29">
        <f t="shared" si="279"/>
        <v>480000</v>
      </c>
      <c r="J517" s="254"/>
      <c r="M517" s="256"/>
      <c r="N517" s="256"/>
      <c r="O517" s="256"/>
      <c r="P517" s="330"/>
      <c r="AE517" s="54"/>
      <c r="AF517" s="54"/>
    </row>
    <row r="518" spans="1:32" ht="30">
      <c r="A518" s="144">
        <v>502</v>
      </c>
      <c r="B518" s="143" t="s">
        <v>49</v>
      </c>
      <c r="C518" s="34" t="s">
        <v>165</v>
      </c>
      <c r="D518" s="34" t="s">
        <v>117</v>
      </c>
      <c r="E518" s="34" t="s">
        <v>458</v>
      </c>
      <c r="F518" s="144">
        <v>600</v>
      </c>
      <c r="G518" s="134">
        <f t="shared" si="279"/>
        <v>480000</v>
      </c>
      <c r="H518" s="134">
        <f t="shared" si="279"/>
        <v>480000</v>
      </c>
      <c r="I518" s="29">
        <f t="shared" si="279"/>
        <v>480000</v>
      </c>
      <c r="M518" s="256"/>
      <c r="N518" s="256"/>
      <c r="O518" s="256"/>
      <c r="P518" s="330"/>
      <c r="AE518" s="54"/>
      <c r="AF518" s="54"/>
    </row>
    <row r="519" spans="1:32">
      <c r="A519" s="144">
        <v>503</v>
      </c>
      <c r="B519" s="143" t="s">
        <v>67</v>
      </c>
      <c r="C519" s="34" t="s">
        <v>165</v>
      </c>
      <c r="D519" s="34" t="s">
        <v>117</v>
      </c>
      <c r="E519" s="34" t="s">
        <v>458</v>
      </c>
      <c r="F519" s="144">
        <v>610</v>
      </c>
      <c r="G519" s="134">
        <v>480000</v>
      </c>
      <c r="H519" s="134">
        <v>480000</v>
      </c>
      <c r="I519" s="157">
        <v>480000</v>
      </c>
      <c r="M519" s="256"/>
      <c r="N519" s="256"/>
      <c r="O519" s="256"/>
      <c r="P519" s="330"/>
      <c r="AE519" s="54"/>
      <c r="AF519" s="54"/>
    </row>
    <row r="520" spans="1:32">
      <c r="A520" s="144">
        <v>504</v>
      </c>
      <c r="B520" s="143" t="s">
        <v>275</v>
      </c>
      <c r="C520" s="34" t="s">
        <v>165</v>
      </c>
      <c r="D520" s="34" t="s">
        <v>117</v>
      </c>
      <c r="E520" s="34" t="s">
        <v>272</v>
      </c>
      <c r="F520" s="144"/>
      <c r="G520" s="134">
        <f>G521</f>
        <v>212475</v>
      </c>
      <c r="H520" s="134">
        <f>H521</f>
        <v>0</v>
      </c>
      <c r="I520" s="134">
        <f>I521</f>
        <v>0</v>
      </c>
      <c r="M520" s="256"/>
      <c r="N520" s="256"/>
      <c r="O520" s="256"/>
      <c r="P520" s="330"/>
      <c r="AE520" s="54"/>
      <c r="AF520" s="54"/>
    </row>
    <row r="521" spans="1:32">
      <c r="A521" s="144">
        <v>505</v>
      </c>
      <c r="B521" s="143" t="s">
        <v>555</v>
      </c>
      <c r="C521" s="34" t="s">
        <v>165</v>
      </c>
      <c r="D521" s="34" t="s">
        <v>117</v>
      </c>
      <c r="E521" s="34" t="s">
        <v>556</v>
      </c>
      <c r="F521" s="144"/>
      <c r="G521" s="134">
        <f>G522</f>
        <v>212475</v>
      </c>
      <c r="H521" s="134">
        <f t="shared" ref="H521:I523" si="280">H522</f>
        <v>0</v>
      </c>
      <c r="I521" s="134">
        <f t="shared" si="280"/>
        <v>0</v>
      </c>
      <c r="M521" s="256"/>
      <c r="N521" s="256"/>
      <c r="O521" s="256"/>
      <c r="P521" s="330"/>
      <c r="AE521" s="54"/>
      <c r="AF521" s="54"/>
    </row>
    <row r="522" spans="1:32" ht="60">
      <c r="A522" s="144">
        <v>506</v>
      </c>
      <c r="B522" s="143" t="s">
        <v>557</v>
      </c>
      <c r="C522" s="34" t="s">
        <v>165</v>
      </c>
      <c r="D522" s="34" t="s">
        <v>117</v>
      </c>
      <c r="E522" s="34" t="s">
        <v>558</v>
      </c>
      <c r="F522" s="144"/>
      <c r="G522" s="134">
        <f>G523</f>
        <v>212475</v>
      </c>
      <c r="H522" s="134">
        <f t="shared" si="280"/>
        <v>0</v>
      </c>
      <c r="I522" s="134">
        <f t="shared" si="280"/>
        <v>0</v>
      </c>
      <c r="M522" s="256"/>
      <c r="N522" s="256"/>
      <c r="O522" s="256"/>
      <c r="P522" s="330"/>
      <c r="AE522" s="54"/>
      <c r="AF522" s="54"/>
    </row>
    <row r="523" spans="1:32" ht="30">
      <c r="A523" s="144">
        <v>507</v>
      </c>
      <c r="B523" s="143" t="s">
        <v>49</v>
      </c>
      <c r="C523" s="34" t="s">
        <v>165</v>
      </c>
      <c r="D523" s="34" t="s">
        <v>117</v>
      </c>
      <c r="E523" s="34" t="s">
        <v>558</v>
      </c>
      <c r="F523" s="144">
        <v>600</v>
      </c>
      <c r="G523" s="134">
        <f>G524</f>
        <v>212475</v>
      </c>
      <c r="H523" s="134">
        <f t="shared" si="280"/>
        <v>0</v>
      </c>
      <c r="I523" s="134">
        <f t="shared" si="280"/>
        <v>0</v>
      </c>
      <c r="M523" s="256"/>
      <c r="N523" s="256"/>
      <c r="O523" s="256"/>
      <c r="P523" s="330"/>
      <c r="AE523" s="54"/>
      <c r="AF523" s="54"/>
    </row>
    <row r="524" spans="1:32">
      <c r="A524" s="144">
        <v>508</v>
      </c>
      <c r="B524" s="143" t="s">
        <v>559</v>
      </c>
      <c r="C524" s="34" t="s">
        <v>165</v>
      </c>
      <c r="D524" s="34" t="s">
        <v>117</v>
      </c>
      <c r="E524" s="34" t="s">
        <v>558</v>
      </c>
      <c r="F524" s="144">
        <v>610</v>
      </c>
      <c r="G524" s="134">
        <f>93975+118500</f>
        <v>212475</v>
      </c>
      <c r="H524" s="134">
        <v>0</v>
      </c>
      <c r="I524" s="134">
        <v>0</v>
      </c>
      <c r="J524" s="245">
        <v>118500</v>
      </c>
      <c r="M524" s="256"/>
      <c r="N524" s="256"/>
      <c r="O524" s="256"/>
      <c r="P524" s="330"/>
      <c r="AE524" s="54"/>
      <c r="AF524" s="54"/>
    </row>
    <row r="525" spans="1:32">
      <c r="A525" s="144">
        <v>509</v>
      </c>
      <c r="B525" s="299" t="s">
        <v>161</v>
      </c>
      <c r="C525" s="34">
        <v>951</v>
      </c>
      <c r="D525" s="34" t="s">
        <v>167</v>
      </c>
      <c r="E525" s="34"/>
      <c r="F525" s="144"/>
      <c r="G525" s="134">
        <f t="shared" ref="G525:I525" si="281">G526</f>
        <v>41089254.139999993</v>
      </c>
      <c r="H525" s="134">
        <f t="shared" si="281"/>
        <v>36339640.799999997</v>
      </c>
      <c r="I525" s="29">
        <f t="shared" si="281"/>
        <v>36339640.799999997</v>
      </c>
      <c r="J525" s="254"/>
      <c r="M525" s="256"/>
      <c r="N525" s="256"/>
      <c r="O525" s="256"/>
      <c r="P525" s="330"/>
      <c r="AE525" s="54"/>
      <c r="AF525" s="54"/>
    </row>
    <row r="526" spans="1:32" ht="30">
      <c r="A526" s="144">
        <v>510</v>
      </c>
      <c r="B526" s="298" t="s">
        <v>54</v>
      </c>
      <c r="C526" s="34" t="s">
        <v>165</v>
      </c>
      <c r="D526" s="34" t="s">
        <v>167</v>
      </c>
      <c r="E526" s="34" t="s">
        <v>184</v>
      </c>
      <c r="F526" s="144"/>
      <c r="G526" s="134">
        <f t="shared" ref="G526:H526" si="282">G527+G531</f>
        <v>41089254.139999993</v>
      </c>
      <c r="H526" s="134">
        <f t="shared" si="282"/>
        <v>36339640.799999997</v>
      </c>
      <c r="I526" s="29">
        <f t="shared" ref="I526" si="283">I527+I531</f>
        <v>36339640.799999997</v>
      </c>
      <c r="J526" s="254"/>
      <c r="M526" s="256"/>
      <c r="N526" s="256"/>
      <c r="O526" s="256"/>
      <c r="P526" s="330"/>
      <c r="AE526" s="54"/>
      <c r="AF526" s="54"/>
    </row>
    <row r="527" spans="1:32">
      <c r="A527" s="144">
        <v>511</v>
      </c>
      <c r="B527" s="298" t="s">
        <v>136</v>
      </c>
      <c r="C527" s="34" t="s">
        <v>165</v>
      </c>
      <c r="D527" s="34" t="s">
        <v>167</v>
      </c>
      <c r="E527" s="34" t="s">
        <v>199</v>
      </c>
      <c r="F527" s="144"/>
      <c r="G527" s="134">
        <f t="shared" ref="G527:I528" si="284">G528</f>
        <v>2199500</v>
      </c>
      <c r="H527" s="134">
        <f t="shared" si="284"/>
        <v>2895600</v>
      </c>
      <c r="I527" s="29">
        <f t="shared" si="284"/>
        <v>2895600</v>
      </c>
      <c r="J527" s="254"/>
      <c r="M527" s="256"/>
      <c r="N527" s="256"/>
      <c r="O527" s="256"/>
      <c r="P527" s="330"/>
      <c r="AE527" s="54"/>
      <c r="AF527" s="54"/>
    </row>
    <row r="528" spans="1:32" ht="105">
      <c r="A528" s="144">
        <v>512</v>
      </c>
      <c r="B528" s="314" t="s">
        <v>339</v>
      </c>
      <c r="C528" s="34">
        <v>951</v>
      </c>
      <c r="D528" s="34" t="s">
        <v>167</v>
      </c>
      <c r="E528" s="34" t="s">
        <v>202</v>
      </c>
      <c r="F528" s="144"/>
      <c r="G528" s="134">
        <f t="shared" ref="G528:I529" si="285">G529</f>
        <v>2199500</v>
      </c>
      <c r="H528" s="134">
        <f t="shared" si="284"/>
        <v>2895600</v>
      </c>
      <c r="I528" s="29">
        <f t="shared" si="284"/>
        <v>2895600</v>
      </c>
      <c r="J528" s="254"/>
      <c r="M528" s="256"/>
      <c r="N528" s="256"/>
      <c r="O528" s="256"/>
      <c r="P528" s="330"/>
      <c r="AE528" s="54"/>
      <c r="AF528" s="54"/>
    </row>
    <row r="529" spans="1:32" ht="30">
      <c r="A529" s="144">
        <v>513</v>
      </c>
      <c r="B529" s="143" t="s">
        <v>49</v>
      </c>
      <c r="C529" s="34">
        <v>951</v>
      </c>
      <c r="D529" s="34" t="s">
        <v>167</v>
      </c>
      <c r="E529" s="34" t="s">
        <v>202</v>
      </c>
      <c r="F529" s="144">
        <v>600</v>
      </c>
      <c r="G529" s="134">
        <f t="shared" si="285"/>
        <v>2199500</v>
      </c>
      <c r="H529" s="134">
        <f t="shared" si="285"/>
        <v>2895600</v>
      </c>
      <c r="I529" s="29">
        <f t="shared" si="285"/>
        <v>2895600</v>
      </c>
      <c r="J529" s="254"/>
      <c r="M529" s="256"/>
      <c r="N529" s="256"/>
      <c r="O529" s="256"/>
      <c r="P529" s="330"/>
      <c r="AE529" s="54"/>
      <c r="AF529" s="54"/>
    </row>
    <row r="530" spans="1:32">
      <c r="A530" s="144">
        <v>514</v>
      </c>
      <c r="B530" s="143" t="s">
        <v>67</v>
      </c>
      <c r="C530" s="34">
        <v>951</v>
      </c>
      <c r="D530" s="34" t="s">
        <v>167</v>
      </c>
      <c r="E530" s="34" t="s">
        <v>202</v>
      </c>
      <c r="F530" s="144">
        <v>610</v>
      </c>
      <c r="G530" s="134">
        <f>2895663.22-732563.22+36400</f>
        <v>2199500</v>
      </c>
      <c r="H530" s="134">
        <f>2895663.22-63.22</f>
        <v>2895600</v>
      </c>
      <c r="I530" s="157">
        <f>2895663.22-63.22</f>
        <v>2895600</v>
      </c>
      <c r="J530" s="245">
        <v>36400</v>
      </c>
      <c r="K530" s="245">
        <v>-63.22</v>
      </c>
      <c r="L530" s="245">
        <v>-63.22</v>
      </c>
      <c r="M530" s="255"/>
      <c r="N530" s="255"/>
      <c r="O530" s="256"/>
      <c r="P530" s="330"/>
      <c r="AE530" s="54"/>
      <c r="AF530" s="54"/>
    </row>
    <row r="531" spans="1:32">
      <c r="A531" s="144">
        <v>515</v>
      </c>
      <c r="B531" s="298" t="s">
        <v>137</v>
      </c>
      <c r="C531" s="34">
        <v>951</v>
      </c>
      <c r="D531" s="34" t="s">
        <v>167</v>
      </c>
      <c r="E531" s="34" t="s">
        <v>203</v>
      </c>
      <c r="F531" s="144"/>
      <c r="G531" s="134">
        <f>G532+G535+G545+G548+G542</f>
        <v>38889754.139999993</v>
      </c>
      <c r="H531" s="134">
        <f t="shared" ref="H531:I531" si="286">H532+H535+H545+H548</f>
        <v>33444040.800000001</v>
      </c>
      <c r="I531" s="29">
        <f t="shared" si="286"/>
        <v>33444040.800000001</v>
      </c>
      <c r="J531" s="254"/>
      <c r="M531" s="256"/>
      <c r="N531" s="256"/>
      <c r="O531" s="256"/>
      <c r="P531" s="330"/>
      <c r="AE531" s="54"/>
      <c r="AF531" s="54"/>
    </row>
    <row r="532" spans="1:32" ht="45">
      <c r="A532" s="144">
        <v>516</v>
      </c>
      <c r="B532" s="143" t="s">
        <v>343</v>
      </c>
      <c r="C532" s="34">
        <v>951</v>
      </c>
      <c r="D532" s="34" t="s">
        <v>167</v>
      </c>
      <c r="E532" s="34" t="s">
        <v>204</v>
      </c>
      <c r="F532" s="144"/>
      <c r="G532" s="134">
        <f t="shared" ref="G532:I533" si="287">G533</f>
        <v>31171737.529999997</v>
      </c>
      <c r="H532" s="134">
        <f t="shared" si="287"/>
        <v>33444040.800000001</v>
      </c>
      <c r="I532" s="29">
        <f t="shared" si="287"/>
        <v>33444040.800000001</v>
      </c>
      <c r="J532" s="254"/>
      <c r="M532" s="256"/>
      <c r="N532" s="256"/>
      <c r="O532" s="256"/>
      <c r="P532" s="330"/>
      <c r="AE532" s="54"/>
      <c r="AF532" s="54"/>
    </row>
    <row r="533" spans="1:32" ht="30">
      <c r="A533" s="144">
        <v>517</v>
      </c>
      <c r="B533" s="143" t="s">
        <v>49</v>
      </c>
      <c r="C533" s="34">
        <v>951</v>
      </c>
      <c r="D533" s="34" t="s">
        <v>167</v>
      </c>
      <c r="E533" s="34" t="s">
        <v>204</v>
      </c>
      <c r="F533" s="144">
        <v>600</v>
      </c>
      <c r="G533" s="134">
        <f t="shared" si="287"/>
        <v>31171737.529999997</v>
      </c>
      <c r="H533" s="134">
        <f t="shared" si="287"/>
        <v>33444040.800000001</v>
      </c>
      <c r="I533" s="29">
        <f t="shared" si="287"/>
        <v>33444040.800000001</v>
      </c>
      <c r="J533" s="254"/>
      <c r="M533" s="256"/>
      <c r="N533" s="256"/>
      <c r="O533" s="256"/>
      <c r="P533" s="330"/>
      <c r="AE533" s="54"/>
      <c r="AF533" s="54"/>
    </row>
    <row r="534" spans="1:32">
      <c r="A534" s="144">
        <v>518</v>
      </c>
      <c r="B534" s="143" t="s">
        <v>67</v>
      </c>
      <c r="C534" s="34">
        <v>951</v>
      </c>
      <c r="D534" s="34" t="s">
        <v>167</v>
      </c>
      <c r="E534" s="34" t="s">
        <v>204</v>
      </c>
      <c r="F534" s="144">
        <v>610</v>
      </c>
      <c r="G534" s="134">
        <f>27762178+291862.8+5390000+2182400-5695995+1247020-5728.27</f>
        <v>31171737.529999997</v>
      </c>
      <c r="H534" s="134">
        <v>33444040.800000001</v>
      </c>
      <c r="I534" s="157">
        <v>33444040.800000001</v>
      </c>
      <c r="J534" s="259">
        <v>-5728.27</v>
      </c>
      <c r="M534" s="256"/>
      <c r="N534" s="256"/>
      <c r="O534" s="256"/>
      <c r="P534" s="330"/>
      <c r="AE534" s="54"/>
      <c r="AF534" s="54"/>
    </row>
    <row r="535" spans="1:32" ht="30">
      <c r="A535" s="144">
        <v>519</v>
      </c>
      <c r="B535" s="143" t="s">
        <v>450</v>
      </c>
      <c r="C535" s="34" t="s">
        <v>165</v>
      </c>
      <c r="D535" s="34" t="s">
        <v>167</v>
      </c>
      <c r="E535" s="34" t="s">
        <v>428</v>
      </c>
      <c r="F535" s="144"/>
      <c r="G535" s="134">
        <f t="shared" ref="G535:I535" si="288">G536+G540</f>
        <v>5682366.6699999999</v>
      </c>
      <c r="H535" s="134">
        <f t="shared" si="288"/>
        <v>0</v>
      </c>
      <c r="I535" s="29">
        <f t="shared" si="288"/>
        <v>0</v>
      </c>
      <c r="J535" s="254"/>
      <c r="M535" s="256"/>
      <c r="N535" s="256"/>
      <c r="O535" s="256"/>
      <c r="P535" s="330"/>
      <c r="AE535" s="54"/>
      <c r="AF535" s="54"/>
    </row>
    <row r="536" spans="1:32" ht="30">
      <c r="A536" s="144">
        <v>520</v>
      </c>
      <c r="B536" s="143" t="s">
        <v>49</v>
      </c>
      <c r="C536" s="34" t="s">
        <v>165</v>
      </c>
      <c r="D536" s="34" t="s">
        <v>167</v>
      </c>
      <c r="E536" s="34" t="s">
        <v>428</v>
      </c>
      <c r="F536" s="144">
        <v>600</v>
      </c>
      <c r="G536" s="134">
        <f t="shared" ref="G536:I536" si="289">G537+G538+G539</f>
        <v>5661766.6699999999</v>
      </c>
      <c r="H536" s="134">
        <f t="shared" si="289"/>
        <v>0</v>
      </c>
      <c r="I536" s="29">
        <f t="shared" si="289"/>
        <v>0</v>
      </c>
      <c r="J536" s="254"/>
      <c r="M536" s="256"/>
      <c r="N536" s="256"/>
      <c r="O536" s="256"/>
      <c r="P536" s="330"/>
      <c r="AE536" s="54"/>
      <c r="AF536" s="54"/>
    </row>
    <row r="537" spans="1:32">
      <c r="A537" s="144">
        <v>521</v>
      </c>
      <c r="B537" s="143" t="s">
        <v>67</v>
      </c>
      <c r="C537" s="34" t="s">
        <v>165</v>
      </c>
      <c r="D537" s="34" t="s">
        <v>167</v>
      </c>
      <c r="E537" s="34" t="s">
        <v>428</v>
      </c>
      <c r="F537" s="144">
        <v>610</v>
      </c>
      <c r="G537" s="134">
        <v>5620566.6699999999</v>
      </c>
      <c r="H537" s="134"/>
      <c r="I537" s="157"/>
      <c r="J537" s="254"/>
      <c r="M537" s="256"/>
      <c r="N537" s="256"/>
      <c r="O537" s="256"/>
      <c r="P537" s="330"/>
      <c r="AE537" s="54"/>
      <c r="AF537" s="54"/>
    </row>
    <row r="538" spans="1:32">
      <c r="A538" s="144">
        <v>522</v>
      </c>
      <c r="B538" s="143" t="s">
        <v>429</v>
      </c>
      <c r="C538" s="34" t="s">
        <v>165</v>
      </c>
      <c r="D538" s="34" t="s">
        <v>167</v>
      </c>
      <c r="E538" s="34" t="s">
        <v>428</v>
      </c>
      <c r="F538" s="144">
        <v>620</v>
      </c>
      <c r="G538" s="134">
        <v>20600</v>
      </c>
      <c r="H538" s="134"/>
      <c r="I538" s="157"/>
      <c r="J538" s="254"/>
      <c r="M538" s="256"/>
      <c r="N538" s="256"/>
      <c r="O538" s="256"/>
      <c r="P538" s="330"/>
      <c r="AE538" s="54"/>
      <c r="AF538" s="54"/>
    </row>
    <row r="539" spans="1:32" ht="30">
      <c r="A539" s="144">
        <v>523</v>
      </c>
      <c r="B539" s="299" t="s">
        <v>451</v>
      </c>
      <c r="C539" s="34" t="s">
        <v>165</v>
      </c>
      <c r="D539" s="34" t="s">
        <v>167</v>
      </c>
      <c r="E539" s="34" t="s">
        <v>428</v>
      </c>
      <c r="F539" s="144">
        <v>630</v>
      </c>
      <c r="G539" s="134">
        <v>20600</v>
      </c>
      <c r="H539" s="134"/>
      <c r="I539" s="157"/>
      <c r="J539" s="254"/>
      <c r="M539" s="256"/>
      <c r="N539" s="256"/>
      <c r="O539" s="256"/>
      <c r="P539" s="330"/>
      <c r="AE539" s="54"/>
      <c r="AF539" s="54"/>
    </row>
    <row r="540" spans="1:32">
      <c r="A540" s="144">
        <v>524</v>
      </c>
      <c r="B540" s="143" t="s">
        <v>430</v>
      </c>
      <c r="C540" s="34" t="s">
        <v>165</v>
      </c>
      <c r="D540" s="34" t="s">
        <v>167</v>
      </c>
      <c r="E540" s="34" t="s">
        <v>428</v>
      </c>
      <c r="F540" s="144">
        <v>800</v>
      </c>
      <c r="G540" s="134">
        <f>G541</f>
        <v>20600</v>
      </c>
      <c r="H540" s="134">
        <f t="shared" ref="H540:I540" si="290">H541</f>
        <v>0</v>
      </c>
      <c r="I540" s="29">
        <f t="shared" si="290"/>
        <v>0</v>
      </c>
      <c r="J540" s="254"/>
      <c r="M540" s="256"/>
      <c r="N540" s="256"/>
      <c r="O540" s="256"/>
      <c r="P540" s="330"/>
      <c r="AE540" s="54"/>
      <c r="AF540" s="54"/>
    </row>
    <row r="541" spans="1:32" ht="33" customHeight="1">
      <c r="A541" s="144">
        <v>525</v>
      </c>
      <c r="B541" s="143" t="s">
        <v>431</v>
      </c>
      <c r="C541" s="34" t="s">
        <v>165</v>
      </c>
      <c r="D541" s="34" t="s">
        <v>167</v>
      </c>
      <c r="E541" s="34" t="s">
        <v>428</v>
      </c>
      <c r="F541" s="144">
        <v>810</v>
      </c>
      <c r="G541" s="134">
        <v>20600</v>
      </c>
      <c r="H541" s="134"/>
      <c r="I541" s="157"/>
      <c r="J541" s="254"/>
      <c r="M541" s="256"/>
      <c r="N541" s="256"/>
      <c r="O541" s="256"/>
      <c r="P541" s="330"/>
      <c r="AE541" s="54"/>
      <c r="AF541" s="54"/>
    </row>
    <row r="542" spans="1:32" ht="54" customHeight="1">
      <c r="A542" s="144">
        <v>526</v>
      </c>
      <c r="B542" s="143" t="s">
        <v>585</v>
      </c>
      <c r="C542" s="34" t="s">
        <v>165</v>
      </c>
      <c r="D542" s="34" t="s">
        <v>167</v>
      </c>
      <c r="E542" s="34" t="s">
        <v>574</v>
      </c>
      <c r="F542" s="144"/>
      <c r="G542" s="134">
        <f>G543</f>
        <v>100000</v>
      </c>
      <c r="H542" s="134">
        <f t="shared" ref="H542:I543" si="291">H543</f>
        <v>0</v>
      </c>
      <c r="I542" s="29">
        <f t="shared" si="291"/>
        <v>0</v>
      </c>
      <c r="J542" s="254"/>
      <c r="M542" s="256"/>
      <c r="N542" s="256"/>
      <c r="O542" s="256"/>
      <c r="P542" s="330"/>
      <c r="AE542" s="54"/>
      <c r="AF542" s="54"/>
    </row>
    <row r="543" spans="1:32" ht="33" customHeight="1">
      <c r="A543" s="144">
        <v>527</v>
      </c>
      <c r="B543" s="143" t="s">
        <v>551</v>
      </c>
      <c r="C543" s="34" t="s">
        <v>165</v>
      </c>
      <c r="D543" s="34" t="s">
        <v>167</v>
      </c>
      <c r="E543" s="34" t="s">
        <v>574</v>
      </c>
      <c r="F543" s="144">
        <v>600</v>
      </c>
      <c r="G543" s="134">
        <f>G544</f>
        <v>100000</v>
      </c>
      <c r="H543" s="134">
        <f t="shared" si="291"/>
        <v>0</v>
      </c>
      <c r="I543" s="29">
        <f t="shared" si="291"/>
        <v>0</v>
      </c>
      <c r="J543" s="254"/>
      <c r="M543" s="256"/>
      <c r="N543" s="256"/>
      <c r="O543" s="256"/>
      <c r="P543" s="330"/>
      <c r="AE543" s="54"/>
      <c r="AF543" s="54"/>
    </row>
    <row r="544" spans="1:32" ht="33" customHeight="1">
      <c r="A544" s="144">
        <v>528</v>
      </c>
      <c r="B544" s="143" t="s">
        <v>573</v>
      </c>
      <c r="C544" s="34" t="s">
        <v>165</v>
      </c>
      <c r="D544" s="34" t="s">
        <v>167</v>
      </c>
      <c r="E544" s="34" t="s">
        <v>574</v>
      </c>
      <c r="F544" s="144">
        <v>610</v>
      </c>
      <c r="G544" s="134">
        <v>100000</v>
      </c>
      <c r="H544" s="134">
        <v>0</v>
      </c>
      <c r="I544" s="157">
        <v>0</v>
      </c>
      <c r="J544" s="254"/>
      <c r="M544" s="256"/>
      <c r="N544" s="256"/>
      <c r="O544" s="256"/>
      <c r="P544" s="330"/>
      <c r="AE544" s="54"/>
      <c r="AF544" s="54"/>
    </row>
    <row r="545" spans="1:32" ht="84.75" customHeight="1">
      <c r="A545" s="144">
        <v>529</v>
      </c>
      <c r="B545" s="143" t="s">
        <v>510</v>
      </c>
      <c r="C545" s="34" t="s">
        <v>165</v>
      </c>
      <c r="D545" s="34" t="s">
        <v>167</v>
      </c>
      <c r="E545" s="34" t="s">
        <v>511</v>
      </c>
      <c r="F545" s="144"/>
      <c r="G545" s="134">
        <f>G546</f>
        <v>0</v>
      </c>
      <c r="H545" s="134">
        <f t="shared" ref="H545:I546" si="292">H546</f>
        <v>0</v>
      </c>
      <c r="I545" s="29">
        <f t="shared" si="292"/>
        <v>0</v>
      </c>
      <c r="J545" s="254"/>
      <c r="M545" s="256"/>
      <c r="N545" s="256"/>
      <c r="O545" s="256"/>
      <c r="P545" s="330"/>
      <c r="AE545" s="54"/>
      <c r="AF545" s="54"/>
    </row>
    <row r="546" spans="1:32" ht="33" customHeight="1">
      <c r="A546" s="144">
        <v>530</v>
      </c>
      <c r="B546" s="143" t="s">
        <v>49</v>
      </c>
      <c r="C546" s="34" t="s">
        <v>165</v>
      </c>
      <c r="D546" s="34" t="s">
        <v>167</v>
      </c>
      <c r="E546" s="34" t="s">
        <v>511</v>
      </c>
      <c r="F546" s="144">
        <v>600</v>
      </c>
      <c r="G546" s="134">
        <f>G547</f>
        <v>0</v>
      </c>
      <c r="H546" s="134">
        <f t="shared" si="292"/>
        <v>0</v>
      </c>
      <c r="I546" s="29">
        <f t="shared" si="292"/>
        <v>0</v>
      </c>
      <c r="J546" s="254"/>
      <c r="M546" s="256"/>
      <c r="N546" s="256"/>
      <c r="O546" s="256"/>
      <c r="P546" s="330"/>
      <c r="AE546" s="54"/>
      <c r="AF546" s="54"/>
    </row>
    <row r="547" spans="1:32" ht="33" customHeight="1">
      <c r="A547" s="144">
        <v>531</v>
      </c>
      <c r="B547" s="143" t="s">
        <v>67</v>
      </c>
      <c r="C547" s="34" t="s">
        <v>165</v>
      </c>
      <c r="D547" s="34" t="s">
        <v>167</v>
      </c>
      <c r="E547" s="34" t="s">
        <v>511</v>
      </c>
      <c r="F547" s="144">
        <v>610</v>
      </c>
      <c r="G547" s="134">
        <f>200000-200000</f>
        <v>0</v>
      </c>
      <c r="H547" s="134">
        <v>0</v>
      </c>
      <c r="I547" s="157">
        <v>0</v>
      </c>
      <c r="J547" s="254"/>
      <c r="M547" s="256"/>
      <c r="N547" s="256"/>
      <c r="O547" s="256"/>
      <c r="P547" s="330"/>
      <c r="AE547" s="54"/>
      <c r="AF547" s="54"/>
    </row>
    <row r="548" spans="1:32" ht="68.25" customHeight="1">
      <c r="A548" s="144">
        <v>532</v>
      </c>
      <c r="B548" s="143" t="s">
        <v>586</v>
      </c>
      <c r="C548" s="34" t="s">
        <v>165</v>
      </c>
      <c r="D548" s="34" t="s">
        <v>167</v>
      </c>
      <c r="E548" s="34" t="s">
        <v>563</v>
      </c>
      <c r="F548" s="144"/>
      <c r="G548" s="134">
        <f>G549</f>
        <v>1935649.94</v>
      </c>
      <c r="H548" s="134">
        <f t="shared" ref="H548:I549" si="293">H549</f>
        <v>0</v>
      </c>
      <c r="I548" s="29">
        <f t="shared" si="293"/>
        <v>0</v>
      </c>
      <c r="M548" s="256"/>
      <c r="N548" s="256"/>
      <c r="O548" s="256"/>
      <c r="P548" s="330"/>
      <c r="AE548" s="54"/>
      <c r="AF548" s="54"/>
    </row>
    <row r="549" spans="1:32" ht="33" customHeight="1">
      <c r="A549" s="144">
        <v>533</v>
      </c>
      <c r="B549" s="143" t="s">
        <v>551</v>
      </c>
      <c r="C549" s="34" t="s">
        <v>165</v>
      </c>
      <c r="D549" s="34" t="s">
        <v>167</v>
      </c>
      <c r="E549" s="34" t="s">
        <v>563</v>
      </c>
      <c r="F549" s="144">
        <v>600</v>
      </c>
      <c r="G549" s="134">
        <f>G550</f>
        <v>1935649.94</v>
      </c>
      <c r="H549" s="134">
        <f t="shared" si="293"/>
        <v>0</v>
      </c>
      <c r="I549" s="29">
        <f t="shared" si="293"/>
        <v>0</v>
      </c>
      <c r="J549" s="259">
        <v>5728.27</v>
      </c>
      <c r="M549" s="256"/>
      <c r="N549" s="256"/>
      <c r="O549" s="256"/>
      <c r="P549" s="330"/>
      <c r="AE549" s="54"/>
      <c r="AF549" s="54"/>
    </row>
    <row r="550" spans="1:32" ht="33" customHeight="1">
      <c r="A550" s="144">
        <v>534</v>
      </c>
      <c r="B550" s="143" t="s">
        <v>559</v>
      </c>
      <c r="C550" s="34" t="s">
        <v>165</v>
      </c>
      <c r="D550" s="34" t="s">
        <v>167</v>
      </c>
      <c r="E550" s="34" t="s">
        <v>563</v>
      </c>
      <c r="F550" s="144">
        <v>610</v>
      </c>
      <c r="G550" s="134">
        <f>1362833.33+572816.61</f>
        <v>1935649.94</v>
      </c>
      <c r="H550" s="134">
        <v>0</v>
      </c>
      <c r="I550" s="157">
        <v>0</v>
      </c>
      <c r="J550" s="245">
        <v>567088.34</v>
      </c>
      <c r="M550" s="256"/>
      <c r="N550" s="256"/>
      <c r="O550" s="256"/>
      <c r="P550" s="330"/>
      <c r="AE550" s="54"/>
      <c r="AF550" s="54"/>
    </row>
    <row r="551" spans="1:32">
      <c r="A551" s="144">
        <v>535</v>
      </c>
      <c r="B551" s="143" t="s">
        <v>53</v>
      </c>
      <c r="C551" s="34">
        <v>951</v>
      </c>
      <c r="D551" s="34" t="s">
        <v>119</v>
      </c>
      <c r="E551" s="34"/>
      <c r="F551" s="144"/>
      <c r="G551" s="134">
        <f t="shared" ref="G551:I553" si="294">G552</f>
        <v>27919695</v>
      </c>
      <c r="H551" s="134">
        <f t="shared" si="294"/>
        <v>26699396</v>
      </c>
      <c r="I551" s="29">
        <f t="shared" si="294"/>
        <v>26699396</v>
      </c>
      <c r="M551" s="256"/>
      <c r="N551" s="256"/>
      <c r="O551" s="256"/>
      <c r="P551" s="330"/>
      <c r="AE551" s="54"/>
      <c r="AF551" s="54"/>
    </row>
    <row r="552" spans="1:32" ht="30">
      <c r="A552" s="144">
        <v>536</v>
      </c>
      <c r="B552" s="298" t="s">
        <v>54</v>
      </c>
      <c r="C552" s="34">
        <v>951</v>
      </c>
      <c r="D552" s="34" t="s">
        <v>119</v>
      </c>
      <c r="E552" s="34" t="s">
        <v>184</v>
      </c>
      <c r="F552" s="144"/>
      <c r="G552" s="134">
        <f t="shared" si="294"/>
        <v>27919695</v>
      </c>
      <c r="H552" s="134">
        <f t="shared" si="294"/>
        <v>26699396</v>
      </c>
      <c r="I552" s="29">
        <f t="shared" si="294"/>
        <v>26699396</v>
      </c>
      <c r="M552" s="256"/>
      <c r="N552" s="256"/>
      <c r="O552" s="256"/>
      <c r="P552" s="330"/>
      <c r="AE552" s="54"/>
      <c r="AF552" s="54"/>
    </row>
    <row r="553" spans="1:32">
      <c r="A553" s="144">
        <v>537</v>
      </c>
      <c r="B553" s="298" t="s">
        <v>55</v>
      </c>
      <c r="C553" s="34">
        <v>951</v>
      </c>
      <c r="D553" s="34" t="s">
        <v>119</v>
      </c>
      <c r="E553" s="34" t="s">
        <v>185</v>
      </c>
      <c r="F553" s="144"/>
      <c r="G553" s="134">
        <f>G554</f>
        <v>27919695</v>
      </c>
      <c r="H553" s="134">
        <f t="shared" si="294"/>
        <v>26699396</v>
      </c>
      <c r="I553" s="29">
        <f t="shared" si="294"/>
        <v>26699396</v>
      </c>
      <c r="M553" s="256"/>
      <c r="N553" s="256"/>
      <c r="O553" s="256"/>
      <c r="P553" s="330"/>
      <c r="AE553" s="54"/>
      <c r="AF553" s="54"/>
    </row>
    <row r="554" spans="1:32" ht="45">
      <c r="A554" s="144">
        <v>538</v>
      </c>
      <c r="B554" s="298" t="s">
        <v>340</v>
      </c>
      <c r="C554" s="34">
        <v>951</v>
      </c>
      <c r="D554" s="34" t="s">
        <v>119</v>
      </c>
      <c r="E554" s="34" t="s">
        <v>205</v>
      </c>
      <c r="F554" s="144"/>
      <c r="G554" s="134">
        <f t="shared" ref="G554:H554" si="295">G555+G557+G559</f>
        <v>27919695</v>
      </c>
      <c r="H554" s="134">
        <f t="shared" si="295"/>
        <v>26699396</v>
      </c>
      <c r="I554" s="29">
        <f t="shared" ref="I554" si="296">I555+I557+I559</f>
        <v>26699396</v>
      </c>
      <c r="M554" s="256"/>
      <c r="N554" s="256"/>
      <c r="O554" s="256"/>
      <c r="P554" s="330"/>
      <c r="AE554" s="54"/>
      <c r="AF554" s="54"/>
    </row>
    <row r="555" spans="1:32" ht="45">
      <c r="A555" s="144">
        <v>539</v>
      </c>
      <c r="B555" s="143" t="s">
        <v>15</v>
      </c>
      <c r="C555" s="34">
        <v>951</v>
      </c>
      <c r="D555" s="34" t="s">
        <v>119</v>
      </c>
      <c r="E555" s="34" t="s">
        <v>205</v>
      </c>
      <c r="F555" s="144">
        <v>100</v>
      </c>
      <c r="G555" s="134">
        <f t="shared" ref="G555" si="297">G556</f>
        <v>24706065</v>
      </c>
      <c r="H555" s="134">
        <f t="shared" ref="H555:I555" si="298">H556</f>
        <v>23485766</v>
      </c>
      <c r="I555" s="29">
        <f t="shared" si="298"/>
        <v>23485766</v>
      </c>
      <c r="M555" s="256"/>
      <c r="N555" s="256"/>
      <c r="O555" s="256"/>
      <c r="P555" s="330"/>
      <c r="AE555" s="54"/>
      <c r="AF555" s="54"/>
    </row>
    <row r="556" spans="1:32">
      <c r="A556" s="144">
        <v>540</v>
      </c>
      <c r="B556" s="143" t="s">
        <v>63</v>
      </c>
      <c r="C556" s="34">
        <v>951</v>
      </c>
      <c r="D556" s="34" t="s">
        <v>119</v>
      </c>
      <c r="E556" s="34" t="s">
        <v>205</v>
      </c>
      <c r="F556" s="144">
        <v>110</v>
      </c>
      <c r="G556" s="134">
        <f>22172770+166370+1146626+1220299</f>
        <v>24706065</v>
      </c>
      <c r="H556" s="134">
        <v>23485766</v>
      </c>
      <c r="I556" s="157">
        <v>23485766</v>
      </c>
      <c r="M556" s="256"/>
      <c r="N556" s="256"/>
      <c r="O556" s="256"/>
      <c r="P556" s="330"/>
      <c r="AE556" s="54"/>
      <c r="AF556" s="54"/>
    </row>
    <row r="557" spans="1:32">
      <c r="A557" s="144">
        <v>541</v>
      </c>
      <c r="B557" s="143" t="s">
        <v>20</v>
      </c>
      <c r="C557" s="34">
        <v>951</v>
      </c>
      <c r="D557" s="34" t="s">
        <v>119</v>
      </c>
      <c r="E557" s="34" t="s">
        <v>205</v>
      </c>
      <c r="F557" s="144">
        <v>200</v>
      </c>
      <c r="G557" s="134">
        <f t="shared" ref="G557:I557" si="299">G558</f>
        <v>3163630</v>
      </c>
      <c r="H557" s="134">
        <f t="shared" si="299"/>
        <v>3163630</v>
      </c>
      <c r="I557" s="29">
        <f t="shared" si="299"/>
        <v>3163630</v>
      </c>
      <c r="M557" s="256"/>
      <c r="N557" s="256"/>
      <c r="O557" s="256"/>
      <c r="P557" s="330"/>
      <c r="AE557" s="54"/>
      <c r="AF557" s="54"/>
    </row>
    <row r="558" spans="1:32">
      <c r="A558" s="144">
        <v>542</v>
      </c>
      <c r="B558" s="143" t="s">
        <v>21</v>
      </c>
      <c r="C558" s="34">
        <v>951</v>
      </c>
      <c r="D558" s="34" t="s">
        <v>119</v>
      </c>
      <c r="E558" s="34" t="s">
        <v>205</v>
      </c>
      <c r="F558" s="144">
        <v>240</v>
      </c>
      <c r="G558" s="134">
        <f>3087790+75840</f>
        <v>3163630</v>
      </c>
      <c r="H558" s="134">
        <v>3163630</v>
      </c>
      <c r="I558" s="157">
        <v>3163630</v>
      </c>
      <c r="M558" s="256"/>
      <c r="N558" s="256"/>
      <c r="O558" s="256"/>
      <c r="P558" s="330"/>
      <c r="AE558" s="54"/>
      <c r="AF558" s="54"/>
    </row>
    <row r="559" spans="1:32">
      <c r="A559" s="144">
        <v>543</v>
      </c>
      <c r="B559" s="143" t="s">
        <v>32</v>
      </c>
      <c r="C559" s="34">
        <v>951</v>
      </c>
      <c r="D559" s="34" t="s">
        <v>119</v>
      </c>
      <c r="E559" s="34" t="s">
        <v>205</v>
      </c>
      <c r="F559" s="144">
        <v>800</v>
      </c>
      <c r="G559" s="134">
        <f>G560+G561</f>
        <v>50000</v>
      </c>
      <c r="H559" s="134">
        <f>H560+H561</f>
        <v>50000</v>
      </c>
      <c r="I559" s="29">
        <f>I560+I561</f>
        <v>50000</v>
      </c>
      <c r="M559" s="256"/>
      <c r="N559" s="256"/>
      <c r="O559" s="256"/>
      <c r="P559" s="330"/>
      <c r="AE559" s="54"/>
      <c r="AF559" s="54"/>
    </row>
    <row r="560" spans="1:32">
      <c r="A560" s="144">
        <v>544</v>
      </c>
      <c r="B560" s="300" t="s">
        <v>38</v>
      </c>
      <c r="C560" s="34">
        <v>951</v>
      </c>
      <c r="D560" s="34" t="s">
        <v>119</v>
      </c>
      <c r="E560" s="34" t="s">
        <v>205</v>
      </c>
      <c r="F560" s="144">
        <v>830</v>
      </c>
      <c r="G560" s="134">
        <v>5000</v>
      </c>
      <c r="H560" s="134">
        <v>5000</v>
      </c>
      <c r="I560" s="157">
        <v>5000</v>
      </c>
      <c r="M560" s="256"/>
      <c r="N560" s="256"/>
      <c r="O560" s="256"/>
      <c r="P560" s="330"/>
      <c r="AE560" s="54"/>
      <c r="AF560" s="54"/>
    </row>
    <row r="561" spans="1:32">
      <c r="A561" s="144">
        <v>545</v>
      </c>
      <c r="B561" s="143" t="s">
        <v>80</v>
      </c>
      <c r="C561" s="34">
        <v>951</v>
      </c>
      <c r="D561" s="34" t="s">
        <v>119</v>
      </c>
      <c r="E561" s="34" t="s">
        <v>205</v>
      </c>
      <c r="F561" s="144">
        <v>850</v>
      </c>
      <c r="G561" s="134">
        <v>45000</v>
      </c>
      <c r="H561" s="134">
        <v>45000</v>
      </c>
      <c r="I561" s="157">
        <v>45000</v>
      </c>
      <c r="M561" s="256"/>
      <c r="N561" s="256"/>
      <c r="O561" s="256"/>
      <c r="P561" s="330"/>
      <c r="AE561" s="54"/>
      <c r="AF561" s="54"/>
    </row>
    <row r="562" spans="1:32">
      <c r="A562" s="144">
        <v>546</v>
      </c>
      <c r="B562" s="297" t="s">
        <v>124</v>
      </c>
      <c r="C562" s="301" t="s">
        <v>165</v>
      </c>
      <c r="D562" s="301" t="s">
        <v>125</v>
      </c>
      <c r="E562" s="301"/>
      <c r="F562" s="144"/>
      <c r="G562" s="134">
        <f>G563+G582</f>
        <v>22076095.200000003</v>
      </c>
      <c r="H562" s="134">
        <f>H563+H582</f>
        <v>22076236.200000003</v>
      </c>
      <c r="I562" s="29">
        <f>I563+I582</f>
        <v>21932260.560000002</v>
      </c>
      <c r="M562" s="256"/>
      <c r="N562" s="256"/>
      <c r="O562" s="256"/>
      <c r="P562" s="330"/>
      <c r="AE562" s="54"/>
      <c r="AF562" s="54"/>
    </row>
    <row r="563" spans="1:32">
      <c r="A563" s="144">
        <v>547</v>
      </c>
      <c r="B563" s="298" t="s">
        <v>78</v>
      </c>
      <c r="C563" s="301" t="s">
        <v>165</v>
      </c>
      <c r="D563" s="301" t="s">
        <v>127</v>
      </c>
      <c r="E563" s="301"/>
      <c r="F563" s="144"/>
      <c r="G563" s="134">
        <f>G564</f>
        <v>19496995.200000003</v>
      </c>
      <c r="H563" s="134">
        <f>H564</f>
        <v>19497136.200000003</v>
      </c>
      <c r="I563" s="29">
        <f t="shared" ref="G563:I564" si="300">I564</f>
        <v>19353160.560000002</v>
      </c>
      <c r="M563" s="256"/>
      <c r="N563" s="256"/>
      <c r="O563" s="256"/>
      <c r="P563" s="330"/>
      <c r="AE563" s="54"/>
      <c r="AF563" s="54"/>
    </row>
    <row r="564" spans="1:32" ht="30">
      <c r="A564" s="144">
        <v>548</v>
      </c>
      <c r="B564" s="298" t="s">
        <v>54</v>
      </c>
      <c r="C564" s="301" t="s">
        <v>165</v>
      </c>
      <c r="D564" s="301" t="s">
        <v>127</v>
      </c>
      <c r="E564" s="301" t="s">
        <v>184</v>
      </c>
      <c r="F564" s="144"/>
      <c r="G564" s="134">
        <f t="shared" si="300"/>
        <v>19496995.200000003</v>
      </c>
      <c r="H564" s="134">
        <f t="shared" si="300"/>
        <v>19497136.200000003</v>
      </c>
      <c r="I564" s="29">
        <f t="shared" si="300"/>
        <v>19353160.560000002</v>
      </c>
      <c r="M564" s="256"/>
      <c r="N564" s="256"/>
      <c r="O564" s="256"/>
      <c r="P564" s="330"/>
      <c r="AE564" s="54"/>
      <c r="AF564" s="54"/>
    </row>
    <row r="565" spans="1:32">
      <c r="A565" s="144">
        <v>549</v>
      </c>
      <c r="B565" s="298" t="s">
        <v>136</v>
      </c>
      <c r="C565" s="301">
        <v>951</v>
      </c>
      <c r="D565" s="301" t="s">
        <v>127</v>
      </c>
      <c r="E565" s="301" t="s">
        <v>199</v>
      </c>
      <c r="F565" s="144"/>
      <c r="G565" s="134">
        <f>G566+G571+G577+G574</f>
        <v>19496995.200000003</v>
      </c>
      <c r="H565" s="134">
        <f>H566+H571+H577+H574</f>
        <v>19497136.200000003</v>
      </c>
      <c r="I565" s="29">
        <f t="shared" ref="I565" si="301">I566+I571+I577+I574</f>
        <v>19353160.560000002</v>
      </c>
      <c r="M565" s="256"/>
      <c r="N565" s="256"/>
      <c r="O565" s="256"/>
      <c r="P565" s="330"/>
      <c r="AE565" s="54"/>
      <c r="AF565" s="54"/>
    </row>
    <row r="566" spans="1:32" ht="90">
      <c r="A566" s="144">
        <v>550</v>
      </c>
      <c r="B566" s="307" t="s">
        <v>342</v>
      </c>
      <c r="C566" s="301">
        <v>951</v>
      </c>
      <c r="D566" s="301" t="s">
        <v>127</v>
      </c>
      <c r="E566" s="301" t="s">
        <v>207</v>
      </c>
      <c r="F566" s="144"/>
      <c r="G566" s="134">
        <f>G567+G569</f>
        <v>7700400</v>
      </c>
      <c r="H566" s="134">
        <f>H567+H569</f>
        <v>7700400</v>
      </c>
      <c r="I566" s="29">
        <f>I567+I569</f>
        <v>7700400</v>
      </c>
      <c r="M566" s="256"/>
      <c r="N566" s="256"/>
      <c r="O566" s="256"/>
      <c r="P566" s="330"/>
      <c r="AE566" s="54"/>
      <c r="AF566" s="54"/>
    </row>
    <row r="567" spans="1:32">
      <c r="A567" s="144">
        <v>551</v>
      </c>
      <c r="B567" s="143" t="s">
        <v>77</v>
      </c>
      <c r="C567" s="301">
        <v>951</v>
      </c>
      <c r="D567" s="301" t="s">
        <v>127</v>
      </c>
      <c r="E567" s="301" t="s">
        <v>207</v>
      </c>
      <c r="F567" s="144">
        <v>300</v>
      </c>
      <c r="G567" s="134">
        <f t="shared" ref="G567:I567" si="302">G568</f>
        <v>0</v>
      </c>
      <c r="H567" s="134">
        <f t="shared" si="302"/>
        <v>0</v>
      </c>
      <c r="I567" s="29">
        <f t="shared" si="302"/>
        <v>0</v>
      </c>
      <c r="M567" s="256"/>
      <c r="N567" s="256"/>
      <c r="O567" s="256"/>
      <c r="P567" s="330"/>
      <c r="AE567" s="54"/>
      <c r="AF567" s="54"/>
    </row>
    <row r="568" spans="1:32">
      <c r="A568" s="144">
        <v>552</v>
      </c>
      <c r="B568" s="143" t="s">
        <v>81</v>
      </c>
      <c r="C568" s="301">
        <v>951</v>
      </c>
      <c r="D568" s="301" t="s">
        <v>127</v>
      </c>
      <c r="E568" s="301" t="s">
        <v>207</v>
      </c>
      <c r="F568" s="144">
        <v>320</v>
      </c>
      <c r="G568" s="134">
        <f>230000-230000</f>
        <v>0</v>
      </c>
      <c r="H568" s="134">
        <f>230000-230000</f>
        <v>0</v>
      </c>
      <c r="I568" s="157">
        <f>230000-230000</f>
        <v>0</v>
      </c>
      <c r="J568" s="254"/>
      <c r="K568" s="254"/>
      <c r="L568" s="254"/>
      <c r="M568" s="256"/>
      <c r="N568" s="256"/>
      <c r="O568" s="256"/>
      <c r="P568" s="330"/>
      <c r="AE568" s="54"/>
      <c r="AF568" s="54"/>
    </row>
    <row r="569" spans="1:32" ht="30">
      <c r="A569" s="144">
        <v>553</v>
      </c>
      <c r="B569" s="143" t="s">
        <v>49</v>
      </c>
      <c r="C569" s="301">
        <v>951</v>
      </c>
      <c r="D569" s="301" t="s">
        <v>127</v>
      </c>
      <c r="E569" s="301" t="s">
        <v>207</v>
      </c>
      <c r="F569" s="144">
        <v>600</v>
      </c>
      <c r="G569" s="134">
        <f t="shared" ref="G569:I569" si="303">G570</f>
        <v>7700400</v>
      </c>
      <c r="H569" s="134">
        <f t="shared" si="303"/>
        <v>7700400</v>
      </c>
      <c r="I569" s="29">
        <f t="shared" si="303"/>
        <v>7700400</v>
      </c>
      <c r="J569" s="254"/>
      <c r="K569" s="254"/>
      <c r="L569" s="254"/>
      <c r="M569" s="256"/>
      <c r="N569" s="256"/>
      <c r="O569" s="256"/>
      <c r="P569" s="330"/>
      <c r="AE569" s="54"/>
      <c r="AF569" s="54"/>
    </row>
    <row r="570" spans="1:32">
      <c r="A570" s="144">
        <v>554</v>
      </c>
      <c r="B570" s="143" t="s">
        <v>67</v>
      </c>
      <c r="C570" s="301">
        <v>951</v>
      </c>
      <c r="D570" s="301" t="s">
        <v>127</v>
      </c>
      <c r="E570" s="301" t="s">
        <v>207</v>
      </c>
      <c r="F570" s="144">
        <v>610</v>
      </c>
      <c r="G570" s="134">
        <f>8868000-1397600+230000</f>
        <v>7700400</v>
      </c>
      <c r="H570" s="134">
        <f>8868000-1397600+230000</f>
        <v>7700400</v>
      </c>
      <c r="I570" s="157">
        <f>8868000-1397600+230000</f>
        <v>7700400</v>
      </c>
      <c r="J570" s="254"/>
      <c r="K570" s="254"/>
      <c r="L570" s="254"/>
      <c r="M570" s="256"/>
      <c r="N570" s="256"/>
      <c r="O570" s="256"/>
      <c r="P570" s="330"/>
      <c r="AE570" s="54"/>
      <c r="AF570" s="54"/>
    </row>
    <row r="571" spans="1:32" ht="90">
      <c r="A571" s="144">
        <v>555</v>
      </c>
      <c r="B571" s="143" t="s">
        <v>418</v>
      </c>
      <c r="C571" s="34" t="s">
        <v>165</v>
      </c>
      <c r="D571" s="301" t="s">
        <v>127</v>
      </c>
      <c r="E571" s="34" t="s">
        <v>419</v>
      </c>
      <c r="F571" s="144"/>
      <c r="G571" s="134">
        <f t="shared" ref="G571:I571" si="304">G572</f>
        <v>10348848.85</v>
      </c>
      <c r="H571" s="134">
        <f t="shared" si="304"/>
        <v>10310538.6</v>
      </c>
      <c r="I571" s="29">
        <f t="shared" si="304"/>
        <v>10166562.960000001</v>
      </c>
      <c r="J571" s="254"/>
      <c r="M571" s="256"/>
      <c r="N571" s="256"/>
      <c r="O571" s="256"/>
      <c r="P571" s="330"/>
      <c r="AE571" s="54"/>
      <c r="AF571" s="54"/>
    </row>
    <row r="572" spans="1:32" ht="30">
      <c r="A572" s="144">
        <v>556</v>
      </c>
      <c r="B572" s="143" t="s">
        <v>49</v>
      </c>
      <c r="C572" s="34" t="s">
        <v>165</v>
      </c>
      <c r="D572" s="301" t="s">
        <v>127</v>
      </c>
      <c r="E572" s="34" t="s">
        <v>419</v>
      </c>
      <c r="F572" s="144">
        <v>600</v>
      </c>
      <c r="G572" s="134">
        <f>G573</f>
        <v>10348848.85</v>
      </c>
      <c r="H572" s="134">
        <f>H573</f>
        <v>10310538.6</v>
      </c>
      <c r="I572" s="29">
        <f>I573</f>
        <v>10166562.960000001</v>
      </c>
      <c r="J572" s="254"/>
      <c r="K572" s="254"/>
      <c r="L572" s="254"/>
      <c r="M572" s="256"/>
      <c r="N572" s="256"/>
      <c r="O572" s="256"/>
      <c r="P572" s="330"/>
      <c r="AE572" s="54"/>
      <c r="AF572" s="54"/>
    </row>
    <row r="573" spans="1:32">
      <c r="A573" s="144">
        <v>557</v>
      </c>
      <c r="B573" s="143" t="s">
        <v>67</v>
      </c>
      <c r="C573" s="34" t="s">
        <v>165</v>
      </c>
      <c r="D573" s="301" t="s">
        <v>127</v>
      </c>
      <c r="E573" s="34" t="s">
        <v>419</v>
      </c>
      <c r="F573" s="144">
        <v>610</v>
      </c>
      <c r="G573" s="134">
        <f>10642200+10642.2-255000-244.6-48748.75</f>
        <v>10348848.85</v>
      </c>
      <c r="H573" s="134">
        <f>10783200+10783.2-244.6-396000-87200</f>
        <v>10310538.6</v>
      </c>
      <c r="I573" s="157">
        <f>3312500+3312.5+6927700+10250.46-87200</f>
        <v>10166562.960000001</v>
      </c>
      <c r="J573" s="254"/>
      <c r="K573" s="254"/>
      <c r="L573" s="254"/>
      <c r="M573" s="255"/>
      <c r="N573" s="255"/>
      <c r="O573" s="256"/>
      <c r="P573" s="330"/>
      <c r="AE573" s="54"/>
      <c r="AF573" s="54"/>
    </row>
    <row r="574" spans="1:32" ht="99" customHeight="1">
      <c r="A574" s="144">
        <v>558</v>
      </c>
      <c r="B574" s="143" t="s">
        <v>587</v>
      </c>
      <c r="C574" s="34" t="s">
        <v>165</v>
      </c>
      <c r="D574" s="301" t="s">
        <v>127</v>
      </c>
      <c r="E574" s="34"/>
      <c r="F574" s="144"/>
      <c r="G574" s="134">
        <f>G575</f>
        <v>48748.75</v>
      </c>
      <c r="H574" s="134">
        <f t="shared" ref="H574:I575" si="305">H575</f>
        <v>87200</v>
      </c>
      <c r="I574" s="29">
        <f t="shared" si="305"/>
        <v>87200</v>
      </c>
      <c r="M574" s="255"/>
      <c r="N574" s="255"/>
      <c r="O574" s="256"/>
      <c r="P574" s="330"/>
      <c r="AE574" s="54"/>
      <c r="AF574" s="54"/>
    </row>
    <row r="575" spans="1:32" ht="30">
      <c r="A575" s="144">
        <v>559</v>
      </c>
      <c r="B575" s="143" t="s">
        <v>551</v>
      </c>
      <c r="C575" s="34" t="s">
        <v>165</v>
      </c>
      <c r="D575" s="301" t="s">
        <v>127</v>
      </c>
      <c r="E575" s="34" t="s">
        <v>562</v>
      </c>
      <c r="F575" s="144">
        <v>600</v>
      </c>
      <c r="G575" s="134">
        <f>G576</f>
        <v>48748.75</v>
      </c>
      <c r="H575" s="134">
        <f t="shared" si="305"/>
        <v>87200</v>
      </c>
      <c r="I575" s="29">
        <f t="shared" si="305"/>
        <v>87200</v>
      </c>
      <c r="J575" s="254"/>
      <c r="K575" s="254"/>
      <c r="L575" s="254"/>
      <c r="M575" s="255"/>
      <c r="N575" s="255"/>
      <c r="O575" s="256"/>
      <c r="P575" s="330"/>
      <c r="AE575" s="54"/>
      <c r="AF575" s="54"/>
    </row>
    <row r="576" spans="1:32">
      <c r="A576" s="144">
        <v>560</v>
      </c>
      <c r="B576" s="143" t="s">
        <v>559</v>
      </c>
      <c r="C576" s="34" t="s">
        <v>165</v>
      </c>
      <c r="D576" s="301" t="s">
        <v>127</v>
      </c>
      <c r="E576" s="34" t="s">
        <v>562</v>
      </c>
      <c r="F576" s="144">
        <v>610</v>
      </c>
      <c r="G576" s="134">
        <v>48748.75</v>
      </c>
      <c r="H576" s="134">
        <v>87200</v>
      </c>
      <c r="I576" s="157">
        <v>87200</v>
      </c>
      <c r="J576" s="254"/>
      <c r="K576" s="254"/>
      <c r="L576" s="254"/>
      <c r="M576" s="255"/>
      <c r="N576" s="255"/>
      <c r="O576" s="256"/>
      <c r="P576" s="330"/>
      <c r="AE576" s="54"/>
      <c r="AF576" s="54"/>
    </row>
    <row r="577" spans="1:32" ht="60.75" customHeight="1">
      <c r="A577" s="144">
        <v>561</v>
      </c>
      <c r="B577" s="143" t="s">
        <v>535</v>
      </c>
      <c r="C577" s="34" t="s">
        <v>165</v>
      </c>
      <c r="D577" s="301" t="s">
        <v>127</v>
      </c>
      <c r="E577" s="34" t="s">
        <v>536</v>
      </c>
      <c r="F577" s="144"/>
      <c r="G577" s="134">
        <f>G578+G580</f>
        <v>1398997.6</v>
      </c>
      <c r="H577" s="134">
        <f t="shared" ref="H577:I577" si="306">H578+H580</f>
        <v>1398997.6</v>
      </c>
      <c r="I577" s="29">
        <f t="shared" si="306"/>
        <v>1398997.6</v>
      </c>
      <c r="M577" s="255"/>
      <c r="N577" s="255"/>
      <c r="O577" s="256"/>
      <c r="P577" s="330"/>
      <c r="AE577" s="54"/>
      <c r="AF577" s="54"/>
    </row>
    <row r="578" spans="1:32">
      <c r="A578" s="144">
        <v>562</v>
      </c>
      <c r="B578" s="143" t="s">
        <v>561</v>
      </c>
      <c r="C578" s="34" t="s">
        <v>165</v>
      </c>
      <c r="D578" s="301" t="s">
        <v>127</v>
      </c>
      <c r="E578" s="34" t="s">
        <v>536</v>
      </c>
      <c r="F578" s="144">
        <v>300</v>
      </c>
      <c r="G578" s="134">
        <f>G579</f>
        <v>190000</v>
      </c>
      <c r="H578" s="134">
        <f t="shared" ref="H578:I578" si="307">H579</f>
        <v>0</v>
      </c>
      <c r="I578" s="29">
        <f t="shared" si="307"/>
        <v>0</v>
      </c>
      <c r="M578" s="255"/>
      <c r="N578" s="255"/>
      <c r="O578" s="256"/>
      <c r="P578" s="330"/>
      <c r="AE578" s="54"/>
      <c r="AF578" s="54"/>
    </row>
    <row r="579" spans="1:32">
      <c r="A579" s="144">
        <v>563</v>
      </c>
      <c r="B579" s="143" t="s">
        <v>81</v>
      </c>
      <c r="C579" s="34" t="s">
        <v>165</v>
      </c>
      <c r="D579" s="301" t="s">
        <v>127</v>
      </c>
      <c r="E579" s="34" t="s">
        <v>536</v>
      </c>
      <c r="F579" s="144">
        <v>320</v>
      </c>
      <c r="G579" s="134">
        <v>190000</v>
      </c>
      <c r="H579" s="134">
        <v>0</v>
      </c>
      <c r="I579" s="157">
        <v>0</v>
      </c>
      <c r="J579" s="254"/>
      <c r="M579" s="255"/>
      <c r="N579" s="255"/>
      <c r="O579" s="256"/>
      <c r="P579" s="330"/>
      <c r="AE579" s="54"/>
      <c r="AF579" s="54"/>
    </row>
    <row r="580" spans="1:32" ht="30">
      <c r="A580" s="144">
        <v>564</v>
      </c>
      <c r="B580" s="143" t="s">
        <v>49</v>
      </c>
      <c r="C580" s="34" t="s">
        <v>165</v>
      </c>
      <c r="D580" s="301" t="s">
        <v>127</v>
      </c>
      <c r="E580" s="34" t="s">
        <v>536</v>
      </c>
      <c r="F580" s="144">
        <v>600</v>
      </c>
      <c r="G580" s="134">
        <f>G581</f>
        <v>1208997.6000000001</v>
      </c>
      <c r="H580" s="134">
        <f>H581</f>
        <v>1398997.6</v>
      </c>
      <c r="I580" s="157">
        <f>I581</f>
        <v>1398997.6</v>
      </c>
      <c r="J580" s="254"/>
      <c r="M580" s="255"/>
      <c r="N580" s="255"/>
      <c r="O580" s="256"/>
      <c r="P580" s="330"/>
      <c r="AE580" s="54"/>
      <c r="AF580" s="54"/>
    </row>
    <row r="581" spans="1:32">
      <c r="A581" s="144">
        <v>565</v>
      </c>
      <c r="B581" s="143" t="s">
        <v>67</v>
      </c>
      <c r="C581" s="34" t="s">
        <v>165</v>
      </c>
      <c r="D581" s="301" t="s">
        <v>127</v>
      </c>
      <c r="E581" s="34" t="s">
        <v>536</v>
      </c>
      <c r="F581" s="144">
        <v>610</v>
      </c>
      <c r="G581" s="134">
        <f>1397600+1397.6-190000</f>
        <v>1208997.6000000001</v>
      </c>
      <c r="H581" s="134">
        <v>1398997.6</v>
      </c>
      <c r="I581" s="157">
        <v>1398997.6</v>
      </c>
      <c r="J581" s="254"/>
      <c r="M581" s="255"/>
      <c r="N581" s="255"/>
      <c r="O581" s="256"/>
      <c r="P581" s="330"/>
      <c r="AE581" s="54"/>
      <c r="AF581" s="54"/>
    </row>
    <row r="582" spans="1:32">
      <c r="A582" s="144">
        <v>566</v>
      </c>
      <c r="B582" s="299" t="s">
        <v>58</v>
      </c>
      <c r="C582" s="301" t="s">
        <v>165</v>
      </c>
      <c r="D582" s="301" t="s">
        <v>166</v>
      </c>
      <c r="E582" s="301"/>
      <c r="F582" s="144"/>
      <c r="G582" s="134">
        <f t="shared" ref="G582:I582" si="308">G583</f>
        <v>2579100</v>
      </c>
      <c r="H582" s="134">
        <f t="shared" si="308"/>
        <v>2579100</v>
      </c>
      <c r="I582" s="29">
        <f t="shared" si="308"/>
        <v>2579100</v>
      </c>
      <c r="M582" s="256"/>
      <c r="N582" s="256"/>
      <c r="O582" s="256"/>
      <c r="P582" s="330"/>
      <c r="AE582" s="54"/>
      <c r="AF582" s="54"/>
    </row>
    <row r="583" spans="1:32" ht="30">
      <c r="A583" s="144">
        <v>567</v>
      </c>
      <c r="B583" s="298" t="s">
        <v>54</v>
      </c>
      <c r="C583" s="301" t="s">
        <v>165</v>
      </c>
      <c r="D583" s="301" t="s">
        <v>166</v>
      </c>
      <c r="E583" s="301" t="s">
        <v>184</v>
      </c>
      <c r="F583" s="144"/>
      <c r="G583" s="134">
        <f t="shared" ref="G583:I583" si="309">G584</f>
        <v>2579100</v>
      </c>
      <c r="H583" s="134">
        <f t="shared" si="309"/>
        <v>2579100</v>
      </c>
      <c r="I583" s="29">
        <f t="shared" si="309"/>
        <v>2579100</v>
      </c>
      <c r="M583" s="256"/>
      <c r="N583" s="256"/>
      <c r="O583" s="256"/>
      <c r="P583" s="330"/>
      <c r="AE583" s="54"/>
      <c r="AF583" s="54"/>
    </row>
    <row r="584" spans="1:32">
      <c r="A584" s="144">
        <v>568</v>
      </c>
      <c r="B584" s="298" t="s">
        <v>55</v>
      </c>
      <c r="C584" s="301" t="s">
        <v>165</v>
      </c>
      <c r="D584" s="301" t="s">
        <v>166</v>
      </c>
      <c r="E584" s="301" t="s">
        <v>185</v>
      </c>
      <c r="F584" s="144"/>
      <c r="G584" s="134">
        <f t="shared" ref="G584:I584" si="310">G585</f>
        <v>2579100</v>
      </c>
      <c r="H584" s="134">
        <f t="shared" si="310"/>
        <v>2579100</v>
      </c>
      <c r="I584" s="29">
        <f t="shared" si="310"/>
        <v>2579100</v>
      </c>
      <c r="M584" s="256"/>
      <c r="N584" s="256"/>
      <c r="O584" s="256"/>
      <c r="P584" s="330"/>
      <c r="AE584" s="54"/>
      <c r="AF584" s="54"/>
    </row>
    <row r="585" spans="1:32" ht="75">
      <c r="A585" s="144">
        <v>569</v>
      </c>
      <c r="B585" s="314" t="s">
        <v>341</v>
      </c>
      <c r="C585" s="34">
        <v>951</v>
      </c>
      <c r="D585" s="34" t="s">
        <v>166</v>
      </c>
      <c r="E585" s="34" t="s">
        <v>206</v>
      </c>
      <c r="F585" s="144"/>
      <c r="G585" s="134">
        <f>G586+G588</f>
        <v>2579100</v>
      </c>
      <c r="H585" s="134">
        <f>H586+H588</f>
        <v>2579100</v>
      </c>
      <c r="I585" s="29">
        <f>I586+I588</f>
        <v>2579100</v>
      </c>
      <c r="M585" s="256"/>
      <c r="N585" s="256"/>
      <c r="O585" s="256"/>
      <c r="P585" s="330"/>
      <c r="AE585" s="54"/>
      <c r="AF585" s="54"/>
    </row>
    <row r="586" spans="1:32">
      <c r="A586" s="144">
        <v>570</v>
      </c>
      <c r="B586" s="143" t="s">
        <v>77</v>
      </c>
      <c r="C586" s="34">
        <v>951</v>
      </c>
      <c r="D586" s="34" t="s">
        <v>166</v>
      </c>
      <c r="E586" s="34" t="s">
        <v>206</v>
      </c>
      <c r="F586" s="144">
        <v>300</v>
      </c>
      <c r="G586" s="134">
        <f t="shared" ref="G586:I586" si="311">G587</f>
        <v>2559100</v>
      </c>
      <c r="H586" s="134">
        <f t="shared" si="311"/>
        <v>2559100</v>
      </c>
      <c r="I586" s="29">
        <f t="shared" si="311"/>
        <v>2559100</v>
      </c>
      <c r="M586" s="256"/>
      <c r="N586" s="256"/>
      <c r="O586" s="256"/>
      <c r="P586" s="330"/>
      <c r="AE586" s="54"/>
      <c r="AF586" s="54"/>
    </row>
    <row r="587" spans="1:32">
      <c r="A587" s="144">
        <v>571</v>
      </c>
      <c r="B587" s="143" t="s">
        <v>81</v>
      </c>
      <c r="C587" s="34">
        <v>951</v>
      </c>
      <c r="D587" s="34" t="s">
        <v>166</v>
      </c>
      <c r="E587" s="34" t="s">
        <v>206</v>
      </c>
      <c r="F587" s="144">
        <v>320</v>
      </c>
      <c r="G587" s="134">
        <v>2559100</v>
      </c>
      <c r="H587" s="134">
        <v>2559100</v>
      </c>
      <c r="I587" s="157">
        <v>2559100</v>
      </c>
      <c r="M587" s="256"/>
      <c r="N587" s="256"/>
      <c r="O587" s="256"/>
      <c r="P587" s="330"/>
      <c r="AE587" s="54"/>
      <c r="AF587" s="54"/>
    </row>
    <row r="588" spans="1:32">
      <c r="A588" s="144">
        <v>572</v>
      </c>
      <c r="B588" s="143" t="s">
        <v>20</v>
      </c>
      <c r="C588" s="34">
        <v>951</v>
      </c>
      <c r="D588" s="34" t="s">
        <v>166</v>
      </c>
      <c r="E588" s="34" t="s">
        <v>206</v>
      </c>
      <c r="F588" s="144">
        <v>200</v>
      </c>
      <c r="G588" s="134">
        <f t="shared" ref="G588:I588" si="312">G589</f>
        <v>20000</v>
      </c>
      <c r="H588" s="134">
        <f t="shared" si="312"/>
        <v>20000</v>
      </c>
      <c r="I588" s="29">
        <f t="shared" si="312"/>
        <v>20000</v>
      </c>
      <c r="M588" s="256"/>
      <c r="N588" s="256"/>
      <c r="O588" s="256"/>
      <c r="P588" s="330"/>
      <c r="AE588" s="54"/>
      <c r="AF588" s="54"/>
    </row>
    <row r="589" spans="1:32">
      <c r="A589" s="144">
        <v>573</v>
      </c>
      <c r="B589" s="143" t="s">
        <v>21</v>
      </c>
      <c r="C589" s="34">
        <v>951</v>
      </c>
      <c r="D589" s="34" t="s">
        <v>166</v>
      </c>
      <c r="E589" s="34" t="s">
        <v>206</v>
      </c>
      <c r="F589" s="144">
        <v>240</v>
      </c>
      <c r="G589" s="134">
        <v>20000</v>
      </c>
      <c r="H589" s="134">
        <v>20000</v>
      </c>
      <c r="I589" s="157">
        <v>20000</v>
      </c>
      <c r="M589" s="256"/>
      <c r="N589" s="256"/>
      <c r="O589" s="256"/>
      <c r="P589" s="330"/>
      <c r="AE589" s="54"/>
      <c r="AF589" s="54"/>
    </row>
    <row r="590" spans="1:32" ht="33.75" customHeight="1">
      <c r="A590" s="144">
        <v>574</v>
      </c>
      <c r="B590" s="312" t="s">
        <v>236</v>
      </c>
      <c r="C590" s="294">
        <v>952</v>
      </c>
      <c r="D590" s="294" t="s">
        <v>114</v>
      </c>
      <c r="E590" s="294"/>
      <c r="F590" s="295"/>
      <c r="G590" s="296">
        <f>G591+G621+G674</f>
        <v>148223667.88999999</v>
      </c>
      <c r="H590" s="296">
        <f t="shared" ref="H590:I590" si="313">H591+H621+H674</f>
        <v>132060750.88999999</v>
      </c>
      <c r="I590" s="46">
        <f t="shared" si="313"/>
        <v>108352940.58000001</v>
      </c>
      <c r="M590" s="256"/>
      <c r="N590" s="256"/>
      <c r="O590" s="256"/>
      <c r="P590" s="330"/>
      <c r="AE590" s="54"/>
      <c r="AF590" s="54"/>
    </row>
    <row r="591" spans="1:32">
      <c r="A591" s="144">
        <v>575</v>
      </c>
      <c r="B591" s="297" t="s">
        <v>113</v>
      </c>
      <c r="C591" s="34">
        <v>952</v>
      </c>
      <c r="D591" s="34" t="s">
        <v>114</v>
      </c>
      <c r="E591" s="34"/>
      <c r="F591" s="144"/>
      <c r="G591" s="134">
        <f>G592+G601</f>
        <v>57323213.409999996</v>
      </c>
      <c r="H591" s="134">
        <f>H592+H601</f>
        <v>47958781.410000004</v>
      </c>
      <c r="I591" s="35">
        <f>I592+I601</f>
        <v>47958781.410000004</v>
      </c>
      <c r="M591" s="256"/>
      <c r="N591" s="256"/>
      <c r="O591" s="256"/>
      <c r="P591" s="330"/>
      <c r="AE591" s="54"/>
      <c r="AF591" s="54"/>
    </row>
    <row r="592" spans="1:32">
      <c r="A592" s="144">
        <v>576</v>
      </c>
      <c r="B592" s="298" t="s">
        <v>158</v>
      </c>
      <c r="C592" s="34">
        <v>952</v>
      </c>
      <c r="D592" s="34" t="s">
        <v>167</v>
      </c>
      <c r="E592" s="34"/>
      <c r="F592" s="144"/>
      <c r="G592" s="134">
        <f t="shared" ref="G592:I595" si="314">G593</f>
        <v>45971975.210000001</v>
      </c>
      <c r="H592" s="134">
        <f t="shared" si="314"/>
        <v>39840204.210000001</v>
      </c>
      <c r="I592" s="35">
        <f t="shared" si="314"/>
        <v>39840204.210000001</v>
      </c>
      <c r="M592" s="256"/>
      <c r="N592" s="256"/>
      <c r="O592" s="256"/>
      <c r="P592" s="330"/>
      <c r="AE592" s="54"/>
      <c r="AF592" s="54"/>
    </row>
    <row r="593" spans="1:32">
      <c r="A593" s="144">
        <v>577</v>
      </c>
      <c r="B593" s="298" t="s">
        <v>316</v>
      </c>
      <c r="C593" s="34">
        <v>952</v>
      </c>
      <c r="D593" s="34" t="s">
        <v>167</v>
      </c>
      <c r="E593" s="34" t="s">
        <v>189</v>
      </c>
      <c r="F593" s="144"/>
      <c r="G593" s="134">
        <f t="shared" si="314"/>
        <v>45971975.210000001</v>
      </c>
      <c r="H593" s="134">
        <f t="shared" si="314"/>
        <v>39840204.210000001</v>
      </c>
      <c r="I593" s="35">
        <f t="shared" si="314"/>
        <v>39840204.210000001</v>
      </c>
      <c r="M593" s="256"/>
      <c r="N593" s="256"/>
      <c r="O593" s="256"/>
      <c r="P593" s="330"/>
      <c r="AE593" s="54"/>
      <c r="AF593" s="54"/>
    </row>
    <row r="594" spans="1:32">
      <c r="A594" s="144">
        <v>578</v>
      </c>
      <c r="B594" s="298" t="s">
        <v>66</v>
      </c>
      <c r="C594" s="34">
        <v>952</v>
      </c>
      <c r="D594" s="34" t="s">
        <v>167</v>
      </c>
      <c r="E594" s="34" t="s">
        <v>208</v>
      </c>
      <c r="F594" s="144"/>
      <c r="G594" s="134">
        <f>G595+G598</f>
        <v>45971975.210000001</v>
      </c>
      <c r="H594" s="134">
        <f t="shared" ref="H594:I594" si="315">H595+H598</f>
        <v>39840204.210000001</v>
      </c>
      <c r="I594" s="29">
        <f t="shared" si="315"/>
        <v>39840204.210000001</v>
      </c>
      <c r="M594" s="256"/>
      <c r="N594" s="256"/>
      <c r="O594" s="256"/>
      <c r="P594" s="330"/>
      <c r="AE594" s="54"/>
      <c r="AF594" s="54"/>
    </row>
    <row r="595" spans="1:32" ht="45">
      <c r="A595" s="144">
        <v>579</v>
      </c>
      <c r="B595" s="298" t="s">
        <v>344</v>
      </c>
      <c r="C595" s="34">
        <v>952</v>
      </c>
      <c r="D595" s="34" t="s">
        <v>167</v>
      </c>
      <c r="E595" s="34" t="s">
        <v>209</v>
      </c>
      <c r="F595" s="144"/>
      <c r="G595" s="134">
        <f t="shared" si="314"/>
        <v>42251065.210000001</v>
      </c>
      <c r="H595" s="134">
        <f t="shared" si="314"/>
        <v>39840204.210000001</v>
      </c>
      <c r="I595" s="29">
        <f t="shared" si="314"/>
        <v>39840204.210000001</v>
      </c>
      <c r="M595" s="256"/>
      <c r="N595" s="256"/>
      <c r="O595" s="256"/>
      <c r="P595" s="330"/>
      <c r="AE595" s="54"/>
      <c r="AF595" s="54"/>
    </row>
    <row r="596" spans="1:32" ht="30">
      <c r="A596" s="144">
        <v>580</v>
      </c>
      <c r="B596" s="143" t="s">
        <v>49</v>
      </c>
      <c r="C596" s="34">
        <v>952</v>
      </c>
      <c r="D596" s="34" t="s">
        <v>167</v>
      </c>
      <c r="E596" s="34" t="s">
        <v>209</v>
      </c>
      <c r="F596" s="144">
        <v>600</v>
      </c>
      <c r="G596" s="134">
        <f t="shared" ref="G596" si="316">G597</f>
        <v>42251065.210000001</v>
      </c>
      <c r="H596" s="134">
        <f t="shared" ref="H596:I596" si="317">H597</f>
        <v>39840204.210000001</v>
      </c>
      <c r="I596" s="29">
        <f t="shared" si="317"/>
        <v>39840204.210000001</v>
      </c>
      <c r="M596" s="256"/>
      <c r="N596" s="256"/>
      <c r="O596" s="256"/>
      <c r="P596" s="330"/>
      <c r="AE596" s="54"/>
      <c r="AF596" s="54"/>
    </row>
    <row r="597" spans="1:32">
      <c r="A597" s="144">
        <v>581</v>
      </c>
      <c r="B597" s="143" t="s">
        <v>67</v>
      </c>
      <c r="C597" s="34">
        <v>952</v>
      </c>
      <c r="D597" s="34" t="s">
        <v>167</v>
      </c>
      <c r="E597" s="34" t="s">
        <v>209</v>
      </c>
      <c r="F597" s="144">
        <v>610</v>
      </c>
      <c r="G597" s="134">
        <f>39840204.21+2410861</f>
        <v>42251065.210000001</v>
      </c>
      <c r="H597" s="134">
        <v>39840204.210000001</v>
      </c>
      <c r="I597" s="157">
        <v>39840204.210000001</v>
      </c>
      <c r="M597" s="256"/>
      <c r="N597" s="256"/>
      <c r="O597" s="256"/>
      <c r="P597" s="330"/>
      <c r="AE597" s="54"/>
      <c r="AF597" s="54"/>
    </row>
    <row r="598" spans="1:32">
      <c r="A598" s="144">
        <v>582</v>
      </c>
      <c r="B598" s="299"/>
      <c r="C598" s="34" t="s">
        <v>304</v>
      </c>
      <c r="D598" s="34" t="s">
        <v>167</v>
      </c>
      <c r="E598" s="34" t="s">
        <v>465</v>
      </c>
      <c r="F598" s="144"/>
      <c r="G598" s="134">
        <f>G599</f>
        <v>3720910</v>
      </c>
      <c r="H598" s="134">
        <f t="shared" ref="H598:I599" si="318">H599</f>
        <v>0</v>
      </c>
      <c r="I598" s="29">
        <f t="shared" si="318"/>
        <v>0</v>
      </c>
      <c r="M598" s="256"/>
      <c r="N598" s="256"/>
      <c r="O598" s="256"/>
      <c r="P598" s="330"/>
      <c r="AE598" s="54"/>
      <c r="AF598" s="54"/>
    </row>
    <row r="599" spans="1:32" ht="30">
      <c r="A599" s="144">
        <v>583</v>
      </c>
      <c r="B599" s="143" t="s">
        <v>49</v>
      </c>
      <c r="C599" s="34" t="s">
        <v>304</v>
      </c>
      <c r="D599" s="34" t="s">
        <v>167</v>
      </c>
      <c r="E599" s="34" t="s">
        <v>465</v>
      </c>
      <c r="F599" s="144">
        <v>600</v>
      </c>
      <c r="G599" s="134">
        <f>G600</f>
        <v>3720910</v>
      </c>
      <c r="H599" s="134">
        <f t="shared" si="318"/>
        <v>0</v>
      </c>
      <c r="I599" s="29">
        <f t="shared" si="318"/>
        <v>0</v>
      </c>
      <c r="M599" s="256"/>
      <c r="N599" s="256"/>
      <c r="O599" s="256"/>
      <c r="P599" s="330"/>
      <c r="AE599" s="54"/>
      <c r="AF599" s="54"/>
    </row>
    <row r="600" spans="1:32">
      <c r="A600" s="144">
        <v>584</v>
      </c>
      <c r="B600" s="143" t="s">
        <v>67</v>
      </c>
      <c r="C600" s="34" t="s">
        <v>304</v>
      </c>
      <c r="D600" s="34" t="s">
        <v>167</v>
      </c>
      <c r="E600" s="34" t="s">
        <v>465</v>
      </c>
      <c r="F600" s="144">
        <v>610</v>
      </c>
      <c r="G600" s="134">
        <f>4163600+94410-479900-35478-21722</f>
        <v>3720910</v>
      </c>
      <c r="H600" s="134">
        <v>0</v>
      </c>
      <c r="I600" s="157">
        <v>0</v>
      </c>
      <c r="J600" s="254"/>
      <c r="M600" s="256"/>
      <c r="N600" s="256"/>
      <c r="O600" s="256"/>
      <c r="P600" s="330"/>
      <c r="AE600" s="54"/>
      <c r="AF600" s="54"/>
    </row>
    <row r="601" spans="1:32" s="54" customFormat="1">
      <c r="A601" s="144">
        <v>585</v>
      </c>
      <c r="B601" s="143" t="s">
        <v>71</v>
      </c>
      <c r="C601" s="34">
        <v>952</v>
      </c>
      <c r="D601" s="34" t="s">
        <v>118</v>
      </c>
      <c r="E601" s="34"/>
      <c r="F601" s="144"/>
      <c r="G601" s="134">
        <f t="shared" ref="G601:I605" si="319">G602</f>
        <v>11351238.199999999</v>
      </c>
      <c r="H601" s="134">
        <f t="shared" si="319"/>
        <v>8118577.2000000002</v>
      </c>
      <c r="I601" s="29">
        <f t="shared" si="319"/>
        <v>8118577.2000000002</v>
      </c>
      <c r="J601" s="330"/>
      <c r="M601" s="256"/>
      <c r="N601" s="256"/>
      <c r="O601" s="256"/>
      <c r="P601" s="330"/>
    </row>
    <row r="602" spans="1:32">
      <c r="A602" s="144">
        <v>586</v>
      </c>
      <c r="B602" s="298" t="s">
        <v>72</v>
      </c>
      <c r="C602" s="34">
        <v>952</v>
      </c>
      <c r="D602" s="34" t="s">
        <v>118</v>
      </c>
      <c r="E602" s="34" t="s">
        <v>210</v>
      </c>
      <c r="F602" s="144"/>
      <c r="G602" s="134">
        <f>G603+G610+G617</f>
        <v>11351238.199999999</v>
      </c>
      <c r="H602" s="134">
        <f>H603+H610+H617</f>
        <v>8118577.2000000002</v>
      </c>
      <c r="I602" s="29">
        <f>I603+I610+I617</f>
        <v>8118577.2000000002</v>
      </c>
      <c r="J602" s="254"/>
      <c r="M602" s="256"/>
      <c r="N602" s="256"/>
      <c r="O602" s="256"/>
      <c r="P602" s="330"/>
      <c r="AE602" s="54"/>
      <c r="AF602" s="54"/>
    </row>
    <row r="603" spans="1:32">
      <c r="A603" s="144">
        <v>587</v>
      </c>
      <c r="B603" s="298" t="s">
        <v>301</v>
      </c>
      <c r="C603" s="34">
        <v>952</v>
      </c>
      <c r="D603" s="34" t="s">
        <v>118</v>
      </c>
      <c r="E603" s="34" t="s">
        <v>241</v>
      </c>
      <c r="F603" s="144"/>
      <c r="G603" s="134">
        <f>G604+G607</f>
        <v>10986638.199999999</v>
      </c>
      <c r="H603" s="134">
        <f t="shared" ref="H603:I603" si="320">H604+H607</f>
        <v>7953977.2000000002</v>
      </c>
      <c r="I603" s="29">
        <f t="shared" si="320"/>
        <v>7953977.2000000002</v>
      </c>
      <c r="J603" s="254"/>
      <c r="M603" s="256"/>
      <c r="N603" s="256"/>
      <c r="O603" s="256"/>
      <c r="P603" s="330"/>
      <c r="AE603" s="54"/>
      <c r="AF603" s="54"/>
    </row>
    <row r="604" spans="1:32" ht="45">
      <c r="A604" s="144">
        <v>588</v>
      </c>
      <c r="B604" s="298" t="s">
        <v>345</v>
      </c>
      <c r="C604" s="34">
        <v>952</v>
      </c>
      <c r="D604" s="34" t="s">
        <v>118</v>
      </c>
      <c r="E604" s="34" t="s">
        <v>302</v>
      </c>
      <c r="F604" s="144"/>
      <c r="G604" s="134">
        <f t="shared" si="319"/>
        <v>10483238.199999999</v>
      </c>
      <c r="H604" s="134">
        <f t="shared" si="319"/>
        <v>7450577.2000000002</v>
      </c>
      <c r="I604" s="29">
        <f t="shared" si="319"/>
        <v>7450577.2000000002</v>
      </c>
      <c r="J604" s="254"/>
      <c r="M604" s="256"/>
      <c r="N604" s="256"/>
      <c r="O604" s="256"/>
      <c r="P604" s="330"/>
      <c r="AE604" s="54"/>
      <c r="AF604" s="54"/>
    </row>
    <row r="605" spans="1:32" ht="30">
      <c r="A605" s="144">
        <v>589</v>
      </c>
      <c r="B605" s="143" t="s">
        <v>49</v>
      </c>
      <c r="C605" s="34">
        <v>952</v>
      </c>
      <c r="D605" s="34" t="s">
        <v>118</v>
      </c>
      <c r="E605" s="34" t="s">
        <v>302</v>
      </c>
      <c r="F605" s="144">
        <v>600</v>
      </c>
      <c r="G605" s="134">
        <f t="shared" ref="G605" si="321">G606</f>
        <v>10483238.199999999</v>
      </c>
      <c r="H605" s="134">
        <f t="shared" si="319"/>
        <v>7450577.2000000002</v>
      </c>
      <c r="I605" s="29">
        <f t="shared" si="319"/>
        <v>7450577.2000000002</v>
      </c>
      <c r="J605" s="254"/>
      <c r="M605" s="256"/>
      <c r="N605" s="256"/>
      <c r="O605" s="256"/>
      <c r="P605" s="330"/>
      <c r="AE605" s="54"/>
      <c r="AF605" s="54"/>
    </row>
    <row r="606" spans="1:32">
      <c r="A606" s="144">
        <v>590</v>
      </c>
      <c r="B606" s="143" t="s">
        <v>67</v>
      </c>
      <c r="C606" s="34">
        <v>952</v>
      </c>
      <c r="D606" s="34" t="s">
        <v>118</v>
      </c>
      <c r="E606" s="34" t="s">
        <v>302</v>
      </c>
      <c r="F606" s="144">
        <v>610</v>
      </c>
      <c r="G606" s="134">
        <f>7450577.2+303730+772500+594602+1361829</f>
        <v>10483238.199999999</v>
      </c>
      <c r="H606" s="134">
        <v>7450577.2000000002</v>
      </c>
      <c r="I606" s="157">
        <v>7450577.2000000002</v>
      </c>
      <c r="J606" s="335">
        <v>1361829</v>
      </c>
      <c r="M606" s="256"/>
      <c r="N606" s="256"/>
      <c r="O606" s="256"/>
      <c r="P606" s="330"/>
      <c r="AE606" s="54"/>
      <c r="AF606" s="54"/>
    </row>
    <row r="607" spans="1:32" s="54" customFormat="1" ht="45">
      <c r="A607" s="144">
        <v>591</v>
      </c>
      <c r="B607" s="307" t="s">
        <v>360</v>
      </c>
      <c r="C607" s="34">
        <v>952</v>
      </c>
      <c r="D607" s="34" t="s">
        <v>118</v>
      </c>
      <c r="E607" s="34" t="s">
        <v>303</v>
      </c>
      <c r="F607" s="144"/>
      <c r="G607" s="134">
        <f t="shared" ref="G607:I608" si="322">G608</f>
        <v>503400</v>
      </c>
      <c r="H607" s="134">
        <f t="shared" si="322"/>
        <v>503400</v>
      </c>
      <c r="I607" s="29">
        <f t="shared" si="322"/>
        <v>503400</v>
      </c>
      <c r="M607" s="256"/>
      <c r="N607" s="256"/>
      <c r="O607" s="256"/>
      <c r="P607" s="330"/>
    </row>
    <row r="608" spans="1:32" s="54" customFormat="1" ht="30">
      <c r="A608" s="144">
        <v>592</v>
      </c>
      <c r="B608" s="143" t="s">
        <v>49</v>
      </c>
      <c r="C608" s="34">
        <v>952</v>
      </c>
      <c r="D608" s="34" t="s">
        <v>118</v>
      </c>
      <c r="E608" s="34" t="s">
        <v>303</v>
      </c>
      <c r="F608" s="144">
        <v>600</v>
      </c>
      <c r="G608" s="134">
        <f t="shared" ref="G608" si="323">G609</f>
        <v>503400</v>
      </c>
      <c r="H608" s="134">
        <f t="shared" si="322"/>
        <v>503400</v>
      </c>
      <c r="I608" s="29">
        <f t="shared" si="322"/>
        <v>503400</v>
      </c>
      <c r="M608" s="256"/>
      <c r="N608" s="256"/>
      <c r="O608" s="256"/>
      <c r="P608" s="330"/>
    </row>
    <row r="609" spans="1:32" s="54" customFormat="1">
      <c r="A609" s="144">
        <v>593</v>
      </c>
      <c r="B609" s="143" t="s">
        <v>67</v>
      </c>
      <c r="C609" s="34">
        <v>952</v>
      </c>
      <c r="D609" s="34" t="s">
        <v>118</v>
      </c>
      <c r="E609" s="34" t="s">
        <v>303</v>
      </c>
      <c r="F609" s="144">
        <v>610</v>
      </c>
      <c r="G609" s="134">
        <f>422800+80600</f>
        <v>503400</v>
      </c>
      <c r="H609" s="134">
        <f>422800+80600</f>
        <v>503400</v>
      </c>
      <c r="I609" s="157">
        <f>422800+80600</f>
        <v>503400</v>
      </c>
      <c r="M609" s="256"/>
      <c r="N609" s="256"/>
      <c r="O609" s="256"/>
      <c r="P609" s="330"/>
    </row>
    <row r="610" spans="1:32">
      <c r="A610" s="144">
        <v>594</v>
      </c>
      <c r="B610" s="299" t="s">
        <v>307</v>
      </c>
      <c r="C610" s="34" t="s">
        <v>304</v>
      </c>
      <c r="D610" s="34" t="s">
        <v>118</v>
      </c>
      <c r="E610" s="34" t="s">
        <v>211</v>
      </c>
      <c r="F610" s="144"/>
      <c r="G610" s="134">
        <f>G611+G614</f>
        <v>294600</v>
      </c>
      <c r="H610" s="134">
        <f t="shared" ref="H610:I610" si="324">H611+H614</f>
        <v>94600</v>
      </c>
      <c r="I610" s="29">
        <f t="shared" si="324"/>
        <v>94600</v>
      </c>
      <c r="M610" s="256"/>
      <c r="N610" s="256"/>
      <c r="O610" s="256"/>
      <c r="P610" s="330"/>
      <c r="AE610" s="54"/>
      <c r="AF610" s="54"/>
    </row>
    <row r="611" spans="1:32" ht="45">
      <c r="A611" s="144">
        <v>595</v>
      </c>
      <c r="B611" s="299" t="s">
        <v>346</v>
      </c>
      <c r="C611" s="34" t="s">
        <v>304</v>
      </c>
      <c r="D611" s="34" t="s">
        <v>118</v>
      </c>
      <c r="E611" s="34" t="s">
        <v>305</v>
      </c>
      <c r="F611" s="144"/>
      <c r="G611" s="134">
        <f t="shared" ref="G611:I612" si="325">G612</f>
        <v>72600</v>
      </c>
      <c r="H611" s="134">
        <f t="shared" si="325"/>
        <v>72600</v>
      </c>
      <c r="I611" s="29">
        <f t="shared" si="325"/>
        <v>72600</v>
      </c>
      <c r="M611" s="256"/>
      <c r="N611" s="256"/>
      <c r="O611" s="256"/>
      <c r="P611" s="330"/>
      <c r="AE611" s="54"/>
      <c r="AF611" s="54"/>
    </row>
    <row r="612" spans="1:32" ht="30">
      <c r="A612" s="144">
        <v>596</v>
      </c>
      <c r="B612" s="143" t="s">
        <v>49</v>
      </c>
      <c r="C612" s="34" t="s">
        <v>304</v>
      </c>
      <c r="D612" s="34" t="s">
        <v>118</v>
      </c>
      <c r="E612" s="34" t="s">
        <v>305</v>
      </c>
      <c r="F612" s="144">
        <v>600</v>
      </c>
      <c r="G612" s="134">
        <f t="shared" si="325"/>
        <v>72600</v>
      </c>
      <c r="H612" s="134">
        <f t="shared" si="325"/>
        <v>72600</v>
      </c>
      <c r="I612" s="29">
        <f t="shared" si="325"/>
        <v>72600</v>
      </c>
      <c r="M612" s="256"/>
      <c r="N612" s="256"/>
      <c r="O612" s="256"/>
      <c r="P612" s="330"/>
      <c r="AE612" s="54"/>
      <c r="AF612" s="54"/>
    </row>
    <row r="613" spans="1:32">
      <c r="A613" s="144">
        <v>597</v>
      </c>
      <c r="B613" s="143" t="s">
        <v>67</v>
      </c>
      <c r="C613" s="34" t="s">
        <v>304</v>
      </c>
      <c r="D613" s="34" t="s">
        <v>118</v>
      </c>
      <c r="E613" s="34" t="s">
        <v>305</v>
      </c>
      <c r="F613" s="144">
        <v>610</v>
      </c>
      <c r="G613" s="134">
        <v>72600</v>
      </c>
      <c r="H613" s="134">
        <v>72600</v>
      </c>
      <c r="I613" s="157">
        <v>72600</v>
      </c>
      <c r="M613" s="256"/>
      <c r="N613" s="256"/>
      <c r="O613" s="256"/>
      <c r="P613" s="330"/>
      <c r="AE613" s="54"/>
      <c r="AF613" s="54"/>
    </row>
    <row r="614" spans="1:32" ht="46.5" customHeight="1">
      <c r="A614" s="144">
        <v>598</v>
      </c>
      <c r="B614" s="143" t="s">
        <v>426</v>
      </c>
      <c r="C614" s="34" t="s">
        <v>304</v>
      </c>
      <c r="D614" s="34" t="s">
        <v>118</v>
      </c>
      <c r="E614" s="34" t="s">
        <v>425</v>
      </c>
      <c r="F614" s="144"/>
      <c r="G614" s="134">
        <f t="shared" ref="G614:I615" si="326">G615</f>
        <v>222000</v>
      </c>
      <c r="H614" s="134">
        <f t="shared" si="326"/>
        <v>22000</v>
      </c>
      <c r="I614" s="29">
        <f t="shared" si="326"/>
        <v>22000</v>
      </c>
      <c r="M614" s="256"/>
      <c r="N614" s="256"/>
      <c r="O614" s="256"/>
      <c r="P614" s="330"/>
      <c r="AE614" s="54"/>
      <c r="AF614" s="54"/>
    </row>
    <row r="615" spans="1:32" ht="30">
      <c r="A615" s="144">
        <v>599</v>
      </c>
      <c r="B615" s="143" t="s">
        <v>49</v>
      </c>
      <c r="C615" s="34" t="s">
        <v>304</v>
      </c>
      <c r="D615" s="34" t="s">
        <v>118</v>
      </c>
      <c r="E615" s="34" t="s">
        <v>425</v>
      </c>
      <c r="F615" s="144">
        <v>600</v>
      </c>
      <c r="G615" s="134">
        <f t="shared" si="326"/>
        <v>222000</v>
      </c>
      <c r="H615" s="134">
        <f t="shared" si="326"/>
        <v>22000</v>
      </c>
      <c r="I615" s="29">
        <f t="shared" si="326"/>
        <v>22000</v>
      </c>
      <c r="M615" s="256"/>
      <c r="N615" s="256"/>
      <c r="O615" s="256"/>
      <c r="P615" s="330"/>
      <c r="AE615" s="54"/>
      <c r="AF615" s="54"/>
    </row>
    <row r="616" spans="1:32">
      <c r="A616" s="144">
        <v>600</v>
      </c>
      <c r="B616" s="143" t="s">
        <v>67</v>
      </c>
      <c r="C616" s="34" t="s">
        <v>304</v>
      </c>
      <c r="D616" s="34" t="s">
        <v>118</v>
      </c>
      <c r="E616" s="34" t="s">
        <v>425</v>
      </c>
      <c r="F616" s="144">
        <v>610</v>
      </c>
      <c r="G616" s="134">
        <f>22000+200000</f>
        <v>222000</v>
      </c>
      <c r="H616" s="134">
        <v>22000</v>
      </c>
      <c r="I616" s="157">
        <v>22000</v>
      </c>
      <c r="J616" s="254"/>
      <c r="M616" s="256"/>
      <c r="N616" s="256"/>
      <c r="O616" s="256"/>
      <c r="P616" s="330"/>
      <c r="AE616" s="54"/>
      <c r="AF616" s="54"/>
    </row>
    <row r="617" spans="1:32" ht="30">
      <c r="A617" s="144">
        <v>601</v>
      </c>
      <c r="B617" s="299" t="s">
        <v>318</v>
      </c>
      <c r="C617" s="34" t="s">
        <v>304</v>
      </c>
      <c r="D617" s="34" t="s">
        <v>118</v>
      </c>
      <c r="E617" s="34" t="s">
        <v>242</v>
      </c>
      <c r="F617" s="144"/>
      <c r="G617" s="134">
        <f t="shared" ref="G617:I619" si="327">G618</f>
        <v>70000</v>
      </c>
      <c r="H617" s="134">
        <f t="shared" si="327"/>
        <v>70000</v>
      </c>
      <c r="I617" s="29">
        <f t="shared" si="327"/>
        <v>70000</v>
      </c>
      <c r="M617" s="256"/>
      <c r="N617" s="256"/>
      <c r="O617" s="256"/>
      <c r="P617" s="330"/>
      <c r="AE617" s="54"/>
      <c r="AF617" s="54"/>
    </row>
    <row r="618" spans="1:32" ht="90.75" customHeight="1">
      <c r="A618" s="144">
        <v>602</v>
      </c>
      <c r="B618" s="299" t="s">
        <v>347</v>
      </c>
      <c r="C618" s="34" t="s">
        <v>304</v>
      </c>
      <c r="D618" s="34" t="s">
        <v>118</v>
      </c>
      <c r="E618" s="34" t="s">
        <v>306</v>
      </c>
      <c r="F618" s="144"/>
      <c r="G618" s="134">
        <f t="shared" si="327"/>
        <v>70000</v>
      </c>
      <c r="H618" s="134">
        <f t="shared" si="327"/>
        <v>70000</v>
      </c>
      <c r="I618" s="29">
        <f t="shared" si="327"/>
        <v>70000</v>
      </c>
      <c r="M618" s="256"/>
      <c r="N618" s="256"/>
      <c r="O618" s="256"/>
      <c r="P618" s="330"/>
      <c r="AE618" s="54"/>
      <c r="AF618" s="54"/>
    </row>
    <row r="619" spans="1:32" ht="30">
      <c r="A619" s="144">
        <v>603</v>
      </c>
      <c r="B619" s="143" t="s">
        <v>49</v>
      </c>
      <c r="C619" s="34" t="s">
        <v>304</v>
      </c>
      <c r="D619" s="34" t="s">
        <v>118</v>
      </c>
      <c r="E619" s="34" t="s">
        <v>306</v>
      </c>
      <c r="F619" s="144">
        <v>600</v>
      </c>
      <c r="G619" s="134">
        <f t="shared" si="327"/>
        <v>70000</v>
      </c>
      <c r="H619" s="134">
        <f t="shared" si="327"/>
        <v>70000</v>
      </c>
      <c r="I619" s="29">
        <f t="shared" si="327"/>
        <v>70000</v>
      </c>
      <c r="M619" s="256"/>
      <c r="N619" s="256"/>
      <c r="O619" s="256"/>
      <c r="P619" s="330"/>
      <c r="AE619" s="54"/>
      <c r="AF619" s="54"/>
    </row>
    <row r="620" spans="1:32">
      <c r="A620" s="144">
        <v>604</v>
      </c>
      <c r="B620" s="143" t="s">
        <v>67</v>
      </c>
      <c r="C620" s="34" t="s">
        <v>304</v>
      </c>
      <c r="D620" s="34" t="s">
        <v>118</v>
      </c>
      <c r="E620" s="34" t="s">
        <v>306</v>
      </c>
      <c r="F620" s="144">
        <v>610</v>
      </c>
      <c r="G620" s="134">
        <v>70000</v>
      </c>
      <c r="H620" s="134">
        <v>70000</v>
      </c>
      <c r="I620" s="157">
        <v>70000</v>
      </c>
      <c r="M620" s="256"/>
      <c r="N620" s="256"/>
      <c r="O620" s="256"/>
      <c r="P620" s="330"/>
      <c r="AE620" s="54"/>
      <c r="AF620" s="54"/>
    </row>
    <row r="621" spans="1:32">
      <c r="A621" s="144">
        <v>605</v>
      </c>
      <c r="B621" s="297" t="s">
        <v>120</v>
      </c>
      <c r="C621" s="34">
        <v>952</v>
      </c>
      <c r="D621" s="34" t="s">
        <v>121</v>
      </c>
      <c r="E621" s="34"/>
      <c r="F621" s="144"/>
      <c r="G621" s="134">
        <f>G622+G660</f>
        <v>90780454.479999989</v>
      </c>
      <c r="H621" s="134">
        <f>H622+H660</f>
        <v>83981969.479999989</v>
      </c>
      <c r="I621" s="29">
        <f>I622+I660</f>
        <v>60274159.170000002</v>
      </c>
      <c r="M621" s="256"/>
      <c r="N621" s="256"/>
      <c r="O621" s="256"/>
      <c r="P621" s="330"/>
      <c r="AE621" s="54"/>
      <c r="AF621" s="54"/>
    </row>
    <row r="622" spans="1:32">
      <c r="A622" s="144">
        <v>606</v>
      </c>
      <c r="B622" s="306" t="s">
        <v>68</v>
      </c>
      <c r="C622" s="34">
        <v>952</v>
      </c>
      <c r="D622" s="34" t="s">
        <v>122</v>
      </c>
      <c r="E622" s="34"/>
      <c r="F622" s="144"/>
      <c r="G622" s="134">
        <f t="shared" ref="G622:I622" si="328">G623</f>
        <v>85970066.239999995</v>
      </c>
      <c r="H622" s="134">
        <f t="shared" si="328"/>
        <v>79521639.239999995</v>
      </c>
      <c r="I622" s="29">
        <f t="shared" si="328"/>
        <v>55813828.93</v>
      </c>
      <c r="M622" s="256"/>
      <c r="N622" s="256"/>
      <c r="O622" s="256"/>
      <c r="P622" s="330"/>
      <c r="AE622" s="54"/>
      <c r="AF622" s="54"/>
    </row>
    <row r="623" spans="1:32">
      <c r="A623" s="144">
        <v>607</v>
      </c>
      <c r="B623" s="298" t="s">
        <v>316</v>
      </c>
      <c r="C623" s="34">
        <v>952</v>
      </c>
      <c r="D623" s="34" t="s">
        <v>122</v>
      </c>
      <c r="E623" s="34" t="s">
        <v>189</v>
      </c>
      <c r="F623" s="144"/>
      <c r="G623" s="134">
        <f>G624+G631+G638</f>
        <v>85970066.239999995</v>
      </c>
      <c r="H623" s="134">
        <f>H624+H631+H638</f>
        <v>79521639.239999995</v>
      </c>
      <c r="I623" s="29">
        <f>I624+I631+I638</f>
        <v>55813828.93</v>
      </c>
      <c r="M623" s="256"/>
      <c r="N623" s="256"/>
      <c r="O623" s="256"/>
      <c r="P623" s="330"/>
      <c r="AE623" s="54"/>
      <c r="AF623" s="54"/>
    </row>
    <row r="624" spans="1:32">
      <c r="A624" s="144">
        <v>608</v>
      </c>
      <c r="B624" s="298" t="s">
        <v>69</v>
      </c>
      <c r="C624" s="34">
        <v>952</v>
      </c>
      <c r="D624" s="34" t="s">
        <v>122</v>
      </c>
      <c r="E624" s="34" t="s">
        <v>212</v>
      </c>
      <c r="F624" s="144"/>
      <c r="G624" s="134">
        <f t="shared" ref="G624" si="329">G625+G628</f>
        <v>32042543.719999999</v>
      </c>
      <c r="H624" s="134">
        <f t="shared" ref="H624:I624" si="330">H625+H628</f>
        <v>30117191.719999999</v>
      </c>
      <c r="I624" s="29">
        <f t="shared" si="330"/>
        <v>30115691.719999999</v>
      </c>
      <c r="M624" s="256"/>
      <c r="N624" s="256"/>
      <c r="O624" s="256"/>
      <c r="P624" s="330"/>
      <c r="AE624" s="54"/>
      <c r="AF624" s="54"/>
    </row>
    <row r="625" spans="1:32" ht="45">
      <c r="A625" s="144">
        <v>609</v>
      </c>
      <c r="B625" s="316" t="s">
        <v>348</v>
      </c>
      <c r="C625" s="34">
        <v>952</v>
      </c>
      <c r="D625" s="34" t="s">
        <v>122</v>
      </c>
      <c r="E625" s="34" t="s">
        <v>213</v>
      </c>
      <c r="F625" s="144"/>
      <c r="G625" s="134">
        <f t="shared" ref="G625:I626" si="331">G626</f>
        <v>26753962.719999999</v>
      </c>
      <c r="H625" s="134">
        <f t="shared" si="331"/>
        <v>25163980.719999999</v>
      </c>
      <c r="I625" s="29">
        <f t="shared" si="331"/>
        <v>25162480.719999999</v>
      </c>
      <c r="M625" s="256"/>
      <c r="N625" s="256"/>
      <c r="O625" s="256"/>
      <c r="P625" s="330"/>
      <c r="AE625" s="54"/>
      <c r="AF625" s="54"/>
    </row>
    <row r="626" spans="1:32" ht="30">
      <c r="A626" s="144">
        <v>610</v>
      </c>
      <c r="B626" s="143" t="s">
        <v>49</v>
      </c>
      <c r="C626" s="34">
        <v>952</v>
      </c>
      <c r="D626" s="34" t="s">
        <v>122</v>
      </c>
      <c r="E626" s="34" t="s">
        <v>213</v>
      </c>
      <c r="F626" s="144">
        <v>600</v>
      </c>
      <c r="G626" s="134">
        <f t="shared" si="331"/>
        <v>26753962.719999999</v>
      </c>
      <c r="H626" s="134">
        <f t="shared" si="331"/>
        <v>25163980.719999999</v>
      </c>
      <c r="I626" s="29">
        <f t="shared" si="331"/>
        <v>25162480.719999999</v>
      </c>
      <c r="J626" s="254"/>
      <c r="M626" s="256"/>
      <c r="N626" s="256"/>
      <c r="O626" s="256"/>
      <c r="P626" s="330"/>
      <c r="AE626" s="54"/>
      <c r="AF626" s="54"/>
    </row>
    <row r="627" spans="1:32">
      <c r="A627" s="144">
        <v>611</v>
      </c>
      <c r="B627" s="143" t="s">
        <v>67</v>
      </c>
      <c r="C627" s="34">
        <v>952</v>
      </c>
      <c r="D627" s="34" t="s">
        <v>122</v>
      </c>
      <c r="E627" s="34" t="s">
        <v>213</v>
      </c>
      <c r="F627" s="144">
        <v>610</v>
      </c>
      <c r="G627" s="134">
        <f>25164780.72+1771762-300-182280</f>
        <v>26753962.719999999</v>
      </c>
      <c r="H627" s="134">
        <f>25164780.72-800</f>
        <v>25163980.719999999</v>
      </c>
      <c r="I627" s="157">
        <f>25164780.72-2300</f>
        <v>25162480.719999999</v>
      </c>
      <c r="J627" s="254"/>
      <c r="M627" s="256"/>
      <c r="N627" s="256"/>
      <c r="O627" s="256"/>
      <c r="P627" s="330"/>
      <c r="AE627" s="54"/>
      <c r="AF627" s="54"/>
    </row>
    <row r="628" spans="1:32" ht="30">
      <c r="A628" s="144">
        <v>612</v>
      </c>
      <c r="B628" s="316" t="s">
        <v>349</v>
      </c>
      <c r="C628" s="34">
        <v>952</v>
      </c>
      <c r="D628" s="34" t="s">
        <v>122</v>
      </c>
      <c r="E628" s="34" t="s">
        <v>214</v>
      </c>
      <c r="F628" s="144"/>
      <c r="G628" s="134">
        <f t="shared" ref="G628:I629" si="332">G629</f>
        <v>5288581</v>
      </c>
      <c r="H628" s="134">
        <f t="shared" si="332"/>
        <v>4953211</v>
      </c>
      <c r="I628" s="29">
        <f t="shared" si="332"/>
        <v>4953211</v>
      </c>
      <c r="M628" s="256"/>
      <c r="N628" s="256"/>
      <c r="O628" s="256"/>
      <c r="P628" s="330"/>
      <c r="AE628" s="54"/>
      <c r="AF628" s="54"/>
    </row>
    <row r="629" spans="1:32" ht="30">
      <c r="A629" s="144">
        <v>613</v>
      </c>
      <c r="B629" s="143" t="s">
        <v>49</v>
      </c>
      <c r="C629" s="34">
        <v>952</v>
      </c>
      <c r="D629" s="34" t="s">
        <v>122</v>
      </c>
      <c r="E629" s="34" t="s">
        <v>214</v>
      </c>
      <c r="F629" s="144">
        <v>600</v>
      </c>
      <c r="G629" s="134">
        <f t="shared" si="332"/>
        <v>5288581</v>
      </c>
      <c r="H629" s="134">
        <f t="shared" si="332"/>
        <v>4953211</v>
      </c>
      <c r="I629" s="29">
        <f t="shared" si="332"/>
        <v>4953211</v>
      </c>
      <c r="M629" s="256"/>
      <c r="N629" s="256"/>
      <c r="O629" s="256"/>
      <c r="P629" s="330"/>
      <c r="AE629" s="54"/>
      <c r="AF629" s="54"/>
    </row>
    <row r="630" spans="1:32">
      <c r="A630" s="144">
        <v>614</v>
      </c>
      <c r="B630" s="143" t="s">
        <v>67</v>
      </c>
      <c r="C630" s="34">
        <v>952</v>
      </c>
      <c r="D630" s="34" t="s">
        <v>122</v>
      </c>
      <c r="E630" s="34" t="s">
        <v>214</v>
      </c>
      <c r="F630" s="144">
        <v>610</v>
      </c>
      <c r="G630" s="134">
        <f>4953211+335370</f>
        <v>5288581</v>
      </c>
      <c r="H630" s="134">
        <v>4953211</v>
      </c>
      <c r="I630" s="157">
        <v>4953211</v>
      </c>
      <c r="M630" s="256"/>
      <c r="N630" s="256"/>
      <c r="O630" s="256"/>
      <c r="P630" s="330"/>
      <c r="AE630" s="54"/>
      <c r="AF630" s="54"/>
    </row>
    <row r="631" spans="1:32">
      <c r="A631" s="144">
        <v>615</v>
      </c>
      <c r="B631" s="317" t="s">
        <v>70</v>
      </c>
      <c r="C631" s="34">
        <v>952</v>
      </c>
      <c r="D631" s="34" t="s">
        <v>122</v>
      </c>
      <c r="E631" s="34" t="s">
        <v>215</v>
      </c>
      <c r="F631" s="144"/>
      <c r="G631" s="134">
        <f>G632+G635</f>
        <v>52432852.519999996</v>
      </c>
      <c r="H631" s="134">
        <f t="shared" ref="H631:I631" si="333">H632+H635</f>
        <v>48906647.519999996</v>
      </c>
      <c r="I631" s="29">
        <f t="shared" si="333"/>
        <v>25201537.210000001</v>
      </c>
      <c r="M631" s="256"/>
      <c r="N631" s="256"/>
      <c r="O631" s="256"/>
      <c r="P631" s="330"/>
      <c r="AE631" s="54"/>
      <c r="AF631" s="54"/>
    </row>
    <row r="632" spans="1:32" ht="45">
      <c r="A632" s="144">
        <v>616</v>
      </c>
      <c r="B632" s="316" t="s">
        <v>350</v>
      </c>
      <c r="C632" s="34">
        <v>952</v>
      </c>
      <c r="D632" s="34" t="s">
        <v>122</v>
      </c>
      <c r="E632" s="34" t="s">
        <v>216</v>
      </c>
      <c r="F632" s="144"/>
      <c r="G632" s="134">
        <f t="shared" ref="G632:I633" si="334">G633</f>
        <v>28632742.52</v>
      </c>
      <c r="H632" s="134">
        <f t="shared" si="334"/>
        <v>25201537.52</v>
      </c>
      <c r="I632" s="29">
        <f t="shared" si="334"/>
        <v>25201537.210000001</v>
      </c>
      <c r="M632" s="256"/>
      <c r="N632" s="256"/>
      <c r="O632" s="256"/>
      <c r="P632" s="330"/>
      <c r="AE632" s="54"/>
      <c r="AF632" s="54"/>
    </row>
    <row r="633" spans="1:32" ht="30">
      <c r="A633" s="144">
        <v>617</v>
      </c>
      <c r="B633" s="143" t="s">
        <v>49</v>
      </c>
      <c r="C633" s="34">
        <v>952</v>
      </c>
      <c r="D633" s="34" t="s">
        <v>122</v>
      </c>
      <c r="E633" s="34" t="s">
        <v>216</v>
      </c>
      <c r="F633" s="144">
        <v>600</v>
      </c>
      <c r="G633" s="134">
        <f t="shared" si="334"/>
        <v>28632742.52</v>
      </c>
      <c r="H633" s="134">
        <f t="shared" si="334"/>
        <v>25201537.52</v>
      </c>
      <c r="I633" s="29">
        <f t="shared" si="334"/>
        <v>25201537.210000001</v>
      </c>
      <c r="M633" s="256"/>
      <c r="N633" s="256"/>
      <c r="O633" s="256"/>
      <c r="P633" s="330"/>
      <c r="AE633" s="54"/>
      <c r="AF633" s="54"/>
    </row>
    <row r="634" spans="1:32">
      <c r="A634" s="144">
        <v>618</v>
      </c>
      <c r="B634" s="143" t="s">
        <v>67</v>
      </c>
      <c r="C634" s="34">
        <v>952</v>
      </c>
      <c r="D634" s="34" t="s">
        <v>122</v>
      </c>
      <c r="E634" s="34" t="s">
        <v>216</v>
      </c>
      <c r="F634" s="144">
        <v>610</v>
      </c>
      <c r="G634" s="134">
        <f>25201537.52+2562727-300000-90600+1079065+180013</f>
        <v>28632742.52</v>
      </c>
      <c r="H634" s="134">
        <v>25201537.52</v>
      </c>
      <c r="I634" s="157">
        <v>25201537.210000001</v>
      </c>
      <c r="J634" s="335">
        <v>1259078</v>
      </c>
      <c r="M634" s="256"/>
      <c r="N634" s="256"/>
      <c r="O634" s="256"/>
      <c r="P634" s="330"/>
      <c r="AE634" s="54"/>
      <c r="AF634" s="54"/>
    </row>
    <row r="635" spans="1:32" ht="45">
      <c r="A635" s="144">
        <v>619</v>
      </c>
      <c r="B635" s="316" t="s">
        <v>351</v>
      </c>
      <c r="C635" s="34">
        <v>952</v>
      </c>
      <c r="D635" s="34" t="s">
        <v>122</v>
      </c>
      <c r="E635" s="34" t="s">
        <v>217</v>
      </c>
      <c r="F635" s="144"/>
      <c r="G635" s="134">
        <f t="shared" ref="G635:I636" si="335">G636</f>
        <v>23800110</v>
      </c>
      <c r="H635" s="134">
        <f t="shared" si="335"/>
        <v>23705110</v>
      </c>
      <c r="I635" s="29">
        <f t="shared" si="335"/>
        <v>0</v>
      </c>
      <c r="M635" s="256"/>
      <c r="N635" s="256"/>
      <c r="O635" s="256"/>
      <c r="P635" s="330"/>
      <c r="AE635" s="54"/>
      <c r="AF635" s="54"/>
    </row>
    <row r="636" spans="1:32" ht="30">
      <c r="A636" s="144">
        <v>620</v>
      </c>
      <c r="B636" s="143" t="s">
        <v>49</v>
      </c>
      <c r="C636" s="34">
        <v>952</v>
      </c>
      <c r="D636" s="34" t="s">
        <v>122</v>
      </c>
      <c r="E636" s="34" t="s">
        <v>217</v>
      </c>
      <c r="F636" s="144">
        <v>600</v>
      </c>
      <c r="G636" s="134">
        <f>G637</f>
        <v>23800110</v>
      </c>
      <c r="H636" s="134">
        <f t="shared" si="335"/>
        <v>23705110</v>
      </c>
      <c r="I636" s="29">
        <f t="shared" si="335"/>
        <v>0</v>
      </c>
      <c r="M636" s="256"/>
      <c r="N636" s="256"/>
      <c r="O636" s="256"/>
      <c r="P636" s="330"/>
      <c r="AE636" s="54"/>
      <c r="AF636" s="54"/>
    </row>
    <row r="637" spans="1:32">
      <c r="A637" s="144">
        <v>621</v>
      </c>
      <c r="B637" s="143" t="s">
        <v>67</v>
      </c>
      <c r="C637" s="34">
        <v>952</v>
      </c>
      <c r="D637" s="34" t="s">
        <v>122</v>
      </c>
      <c r="E637" s="34" t="s">
        <v>217</v>
      </c>
      <c r="F637" s="144">
        <v>610</v>
      </c>
      <c r="G637" s="134">
        <v>23800110</v>
      </c>
      <c r="H637" s="134">
        <f>23800110-95000</f>
        <v>23705110</v>
      </c>
      <c r="I637" s="29">
        <v>0</v>
      </c>
      <c r="M637" s="256"/>
      <c r="N637" s="256"/>
      <c r="O637" s="256"/>
      <c r="P637" s="330"/>
      <c r="AE637" s="54"/>
      <c r="AF637" s="54"/>
    </row>
    <row r="638" spans="1:32" ht="23.25" customHeight="1">
      <c r="A638" s="144">
        <v>622</v>
      </c>
      <c r="B638" s="298" t="s">
        <v>66</v>
      </c>
      <c r="C638" s="34">
        <v>952</v>
      </c>
      <c r="D638" s="34" t="s">
        <v>122</v>
      </c>
      <c r="E638" s="34" t="s">
        <v>208</v>
      </c>
      <c r="F638" s="144"/>
      <c r="G638" s="134">
        <f>G639+G648+G642+G645+G651+G654+G657</f>
        <v>1494670</v>
      </c>
      <c r="H638" s="134">
        <f t="shared" ref="H638:I638" si="336">H639+H648+H642+H645+H651</f>
        <v>497800</v>
      </c>
      <c r="I638" s="29">
        <f t="shared" si="336"/>
        <v>496600</v>
      </c>
      <c r="M638" s="256"/>
      <c r="N638" s="256"/>
      <c r="O638" s="256"/>
      <c r="P638" s="330"/>
      <c r="AE638" s="54"/>
      <c r="AF638" s="54"/>
    </row>
    <row r="639" spans="1:32" ht="63">
      <c r="A639" s="144">
        <v>623</v>
      </c>
      <c r="B639" s="318" t="s">
        <v>352</v>
      </c>
      <c r="C639" s="319">
        <v>952</v>
      </c>
      <c r="D639" s="34" t="s">
        <v>122</v>
      </c>
      <c r="E639" s="34" t="s">
        <v>292</v>
      </c>
      <c r="F639" s="319"/>
      <c r="G639" s="134">
        <f t="shared" ref="G639:I639" si="337">G640</f>
        <v>100000</v>
      </c>
      <c r="H639" s="134">
        <f t="shared" si="337"/>
        <v>100000</v>
      </c>
      <c r="I639" s="29">
        <f t="shared" si="337"/>
        <v>100000</v>
      </c>
      <c r="M639" s="256"/>
      <c r="N639" s="256"/>
      <c r="O639" s="256"/>
      <c r="P639" s="330"/>
      <c r="AE639" s="54"/>
      <c r="AF639" s="54"/>
    </row>
    <row r="640" spans="1:32" ht="31.5">
      <c r="A640" s="144">
        <v>624</v>
      </c>
      <c r="B640" s="320" t="s">
        <v>49</v>
      </c>
      <c r="C640" s="319">
        <v>952</v>
      </c>
      <c r="D640" s="34" t="s">
        <v>122</v>
      </c>
      <c r="E640" s="34" t="s">
        <v>292</v>
      </c>
      <c r="F640" s="319">
        <v>600</v>
      </c>
      <c r="G640" s="134">
        <f>G641</f>
        <v>100000</v>
      </c>
      <c r="H640" s="134">
        <f t="shared" ref="H640:I640" si="338">H641</f>
        <v>100000</v>
      </c>
      <c r="I640" s="29">
        <f t="shared" si="338"/>
        <v>100000</v>
      </c>
      <c r="M640" s="256"/>
      <c r="N640" s="256"/>
      <c r="O640" s="256"/>
      <c r="P640" s="330"/>
      <c r="AE640" s="54"/>
      <c r="AF640" s="54"/>
    </row>
    <row r="641" spans="1:32" ht="15.75">
      <c r="A641" s="144">
        <v>625</v>
      </c>
      <c r="B641" s="320" t="s">
        <v>67</v>
      </c>
      <c r="C641" s="319">
        <v>952</v>
      </c>
      <c r="D641" s="34" t="s">
        <v>122</v>
      </c>
      <c r="E641" s="34" t="s">
        <v>292</v>
      </c>
      <c r="F641" s="319">
        <v>610</v>
      </c>
      <c r="G641" s="134">
        <v>100000</v>
      </c>
      <c r="H641" s="134">
        <v>100000</v>
      </c>
      <c r="I641" s="157">
        <v>100000</v>
      </c>
      <c r="M641" s="256"/>
      <c r="N641" s="256"/>
      <c r="O641" s="256"/>
      <c r="P641" s="330"/>
      <c r="AE641" s="54"/>
      <c r="AF641" s="54"/>
    </row>
    <row r="642" spans="1:32" ht="31.5">
      <c r="A642" s="144">
        <v>626</v>
      </c>
      <c r="B642" s="318" t="s">
        <v>464</v>
      </c>
      <c r="C642" s="319">
        <v>952</v>
      </c>
      <c r="D642" s="34" t="s">
        <v>122</v>
      </c>
      <c r="E642" s="34" t="s">
        <v>549</v>
      </c>
      <c r="F642" s="319"/>
      <c r="G642" s="134">
        <f>G643</f>
        <v>147000</v>
      </c>
      <c r="H642" s="134">
        <f t="shared" ref="H642:I643" si="339">H643</f>
        <v>152000</v>
      </c>
      <c r="I642" s="29">
        <f t="shared" si="339"/>
        <v>150800</v>
      </c>
      <c r="M642" s="256"/>
      <c r="N642" s="256"/>
      <c r="O642" s="256"/>
      <c r="P642" s="330"/>
      <c r="AE642" s="54"/>
      <c r="AF642" s="54"/>
    </row>
    <row r="643" spans="1:32" ht="31.5">
      <c r="A643" s="144">
        <v>627</v>
      </c>
      <c r="B643" s="320" t="s">
        <v>49</v>
      </c>
      <c r="C643" s="319">
        <v>952</v>
      </c>
      <c r="D643" s="34" t="s">
        <v>122</v>
      </c>
      <c r="E643" s="34" t="s">
        <v>549</v>
      </c>
      <c r="F643" s="319">
        <v>600</v>
      </c>
      <c r="G643" s="134">
        <f>G644</f>
        <v>147000</v>
      </c>
      <c r="H643" s="134">
        <f t="shared" si="339"/>
        <v>152000</v>
      </c>
      <c r="I643" s="29">
        <f t="shared" si="339"/>
        <v>150800</v>
      </c>
      <c r="M643" s="256"/>
      <c r="N643" s="256"/>
      <c r="O643" s="256"/>
      <c r="P643" s="330"/>
      <c r="AE643" s="54"/>
      <c r="AF643" s="54"/>
    </row>
    <row r="644" spans="1:32" ht="15.75">
      <c r="A644" s="144">
        <v>628</v>
      </c>
      <c r="B644" s="320" t="s">
        <v>67</v>
      </c>
      <c r="C644" s="319">
        <v>952</v>
      </c>
      <c r="D644" s="34" t="s">
        <v>122</v>
      </c>
      <c r="E644" s="34" t="s">
        <v>549</v>
      </c>
      <c r="F644" s="319">
        <v>610</v>
      </c>
      <c r="G644" s="134">
        <f>160000+2000-16000+700+300</f>
        <v>147000</v>
      </c>
      <c r="H644" s="134">
        <f>160200+2000-11000+800</f>
        <v>152000</v>
      </c>
      <c r="I644" s="157">
        <f>49700+500+98300+2300</f>
        <v>150800</v>
      </c>
      <c r="J644" s="254"/>
      <c r="M644" s="256"/>
      <c r="N644" s="256"/>
      <c r="O644" s="256"/>
      <c r="P644" s="330"/>
      <c r="AE644" s="54"/>
      <c r="AF644" s="54"/>
    </row>
    <row r="645" spans="1:32" ht="63">
      <c r="A645" s="144">
        <v>629</v>
      </c>
      <c r="B645" s="320" t="s">
        <v>503</v>
      </c>
      <c r="C645" s="319">
        <v>952</v>
      </c>
      <c r="D645" s="34" t="s">
        <v>122</v>
      </c>
      <c r="E645" s="34" t="s">
        <v>504</v>
      </c>
      <c r="F645" s="319"/>
      <c r="G645" s="134">
        <f>G646</f>
        <v>696970</v>
      </c>
      <c r="H645" s="134">
        <f t="shared" ref="H645:I646" si="340">H646</f>
        <v>0</v>
      </c>
      <c r="I645" s="29">
        <f t="shared" si="340"/>
        <v>0</v>
      </c>
      <c r="M645" s="256"/>
      <c r="N645" s="256"/>
      <c r="O645" s="256"/>
      <c r="P645" s="330"/>
      <c r="AE645" s="54"/>
      <c r="AF645" s="54"/>
    </row>
    <row r="646" spans="1:32" ht="31.5">
      <c r="A646" s="144">
        <v>630</v>
      </c>
      <c r="B646" s="320" t="s">
        <v>49</v>
      </c>
      <c r="C646" s="319">
        <v>952</v>
      </c>
      <c r="D646" s="34" t="s">
        <v>122</v>
      </c>
      <c r="E646" s="34" t="s">
        <v>504</v>
      </c>
      <c r="F646" s="319">
        <v>600</v>
      </c>
      <c r="G646" s="134">
        <f>G647</f>
        <v>696970</v>
      </c>
      <c r="H646" s="134">
        <f t="shared" si="340"/>
        <v>0</v>
      </c>
      <c r="I646" s="29">
        <f t="shared" si="340"/>
        <v>0</v>
      </c>
      <c r="M646" s="256"/>
      <c r="N646" s="256"/>
      <c r="O646" s="256"/>
      <c r="P646" s="330"/>
      <c r="AE646" s="54"/>
      <c r="AF646" s="54"/>
    </row>
    <row r="647" spans="1:32" ht="15.75">
      <c r="A647" s="144">
        <v>631</v>
      </c>
      <c r="B647" s="320" t="s">
        <v>67</v>
      </c>
      <c r="C647" s="319">
        <v>952</v>
      </c>
      <c r="D647" s="34" t="s">
        <v>122</v>
      </c>
      <c r="E647" s="34" t="s">
        <v>504</v>
      </c>
      <c r="F647" s="319">
        <v>610</v>
      </c>
      <c r="G647" s="134">
        <f>6970+690000</f>
        <v>696970</v>
      </c>
      <c r="H647" s="134">
        <v>0</v>
      </c>
      <c r="I647" s="157">
        <v>0</v>
      </c>
      <c r="M647" s="256"/>
      <c r="N647" s="256"/>
      <c r="O647" s="256"/>
      <c r="P647" s="330"/>
      <c r="AE647" s="54"/>
      <c r="AF647" s="54"/>
    </row>
    <row r="648" spans="1:32" s="54" customFormat="1" ht="47.25">
      <c r="A648" s="144">
        <v>632</v>
      </c>
      <c r="B648" s="318" t="s">
        <v>394</v>
      </c>
      <c r="C648" s="319">
        <v>952</v>
      </c>
      <c r="D648" s="34" t="s">
        <v>122</v>
      </c>
      <c r="E648" s="34" t="s">
        <v>405</v>
      </c>
      <c r="F648" s="319"/>
      <c r="G648" s="134">
        <f t="shared" ref="G648:I649" si="341">G649</f>
        <v>245800</v>
      </c>
      <c r="H648" s="134">
        <f t="shared" si="341"/>
        <v>245800</v>
      </c>
      <c r="I648" s="29">
        <f t="shared" si="341"/>
        <v>245800</v>
      </c>
      <c r="M648" s="256"/>
      <c r="N648" s="256"/>
      <c r="O648" s="256"/>
      <c r="P648" s="330"/>
    </row>
    <row r="649" spans="1:32" s="54" customFormat="1" ht="31.5">
      <c r="A649" s="144">
        <v>633</v>
      </c>
      <c r="B649" s="320" t="s">
        <v>49</v>
      </c>
      <c r="C649" s="319">
        <v>952</v>
      </c>
      <c r="D649" s="34" t="s">
        <v>122</v>
      </c>
      <c r="E649" s="34" t="s">
        <v>405</v>
      </c>
      <c r="F649" s="319">
        <v>600</v>
      </c>
      <c r="G649" s="134">
        <f t="shared" si="341"/>
        <v>245800</v>
      </c>
      <c r="H649" s="134">
        <f t="shared" si="341"/>
        <v>245800</v>
      </c>
      <c r="I649" s="29">
        <f t="shared" si="341"/>
        <v>245800</v>
      </c>
      <c r="M649" s="256"/>
      <c r="N649" s="256"/>
      <c r="O649" s="256"/>
      <c r="P649" s="330"/>
    </row>
    <row r="650" spans="1:32" s="54" customFormat="1" ht="15.75">
      <c r="A650" s="144">
        <v>634</v>
      </c>
      <c r="B650" s="320" t="s">
        <v>67</v>
      </c>
      <c r="C650" s="319">
        <v>952</v>
      </c>
      <c r="D650" s="34" t="s">
        <v>122</v>
      </c>
      <c r="E650" s="34" t="s">
        <v>405</v>
      </c>
      <c r="F650" s="319">
        <v>610</v>
      </c>
      <c r="G650" s="134">
        <f>183800+62000</f>
        <v>245800</v>
      </c>
      <c r="H650" s="134">
        <f>183800+62000</f>
        <v>245800</v>
      </c>
      <c r="I650" s="157">
        <f>183800+62000</f>
        <v>245800</v>
      </c>
      <c r="M650" s="256"/>
      <c r="N650" s="256"/>
      <c r="O650" s="256"/>
      <c r="P650" s="330"/>
    </row>
    <row r="651" spans="1:32" s="54" customFormat="1" ht="31.5">
      <c r="A651" s="144">
        <v>635</v>
      </c>
      <c r="B651" s="320" t="s">
        <v>526</v>
      </c>
      <c r="C651" s="319">
        <v>952</v>
      </c>
      <c r="D651" s="34" t="s">
        <v>122</v>
      </c>
      <c r="E651" s="34" t="s">
        <v>514</v>
      </c>
      <c r="F651" s="319"/>
      <c r="G651" s="134">
        <f>G652</f>
        <v>154900</v>
      </c>
      <c r="H651" s="134">
        <f t="shared" ref="H651:I652" si="342">H652</f>
        <v>0</v>
      </c>
      <c r="I651" s="29">
        <f t="shared" si="342"/>
        <v>0</v>
      </c>
      <c r="M651" s="256"/>
      <c r="N651" s="256"/>
      <c r="O651" s="256"/>
      <c r="P651" s="330"/>
    </row>
    <row r="652" spans="1:32" s="54" customFormat="1" ht="31.5">
      <c r="A652" s="144">
        <v>636</v>
      </c>
      <c r="B652" s="320" t="s">
        <v>49</v>
      </c>
      <c r="C652" s="319">
        <v>952</v>
      </c>
      <c r="D652" s="34" t="s">
        <v>122</v>
      </c>
      <c r="E652" s="34" t="s">
        <v>514</v>
      </c>
      <c r="F652" s="319">
        <v>600</v>
      </c>
      <c r="G652" s="134">
        <f>G653</f>
        <v>154900</v>
      </c>
      <c r="H652" s="134">
        <f t="shared" si="342"/>
        <v>0</v>
      </c>
      <c r="I652" s="29">
        <f t="shared" si="342"/>
        <v>0</v>
      </c>
      <c r="M652" s="256"/>
      <c r="N652" s="256"/>
      <c r="O652" s="256"/>
      <c r="P652" s="330"/>
    </row>
    <row r="653" spans="1:32" s="54" customFormat="1" ht="15.75">
      <c r="A653" s="144">
        <v>637</v>
      </c>
      <c r="B653" s="320" t="s">
        <v>67</v>
      </c>
      <c r="C653" s="319">
        <v>952</v>
      </c>
      <c r="D653" s="34" t="s">
        <v>122</v>
      </c>
      <c r="E653" s="34" t="s">
        <v>514</v>
      </c>
      <c r="F653" s="319">
        <v>610</v>
      </c>
      <c r="G653" s="134">
        <v>154900</v>
      </c>
      <c r="H653" s="134">
        <v>0</v>
      </c>
      <c r="I653" s="157">
        <v>0</v>
      </c>
      <c r="M653" s="256"/>
      <c r="N653" s="256"/>
      <c r="O653" s="256"/>
      <c r="P653" s="330"/>
    </row>
    <row r="654" spans="1:32" s="54" customFormat="1" ht="56.25" customHeight="1">
      <c r="A654" s="144">
        <v>638</v>
      </c>
      <c r="B654" s="320" t="s">
        <v>554</v>
      </c>
      <c r="C654" s="319">
        <v>952</v>
      </c>
      <c r="D654" s="34" t="s">
        <v>122</v>
      </c>
      <c r="E654" s="34" t="s">
        <v>550</v>
      </c>
      <c r="F654" s="319"/>
      <c r="G654" s="134">
        <f>G655</f>
        <v>50000</v>
      </c>
      <c r="H654" s="134">
        <f t="shared" ref="H654:I654" si="343">H655</f>
        <v>0</v>
      </c>
      <c r="I654" s="29">
        <f t="shared" si="343"/>
        <v>0</v>
      </c>
      <c r="J654" s="332"/>
      <c r="M654" s="256"/>
      <c r="N654" s="256"/>
      <c r="O654" s="256"/>
      <c r="P654" s="330"/>
    </row>
    <row r="655" spans="1:32" s="54" customFormat="1" ht="34.5" customHeight="1">
      <c r="A655" s="144">
        <v>639</v>
      </c>
      <c r="B655" s="320" t="s">
        <v>551</v>
      </c>
      <c r="C655" s="319">
        <v>952</v>
      </c>
      <c r="D655" s="34" t="s">
        <v>122</v>
      </c>
      <c r="E655" s="34" t="s">
        <v>550</v>
      </c>
      <c r="F655" s="319">
        <v>600</v>
      </c>
      <c r="G655" s="134">
        <f>G656</f>
        <v>50000</v>
      </c>
      <c r="H655" s="134">
        <f>H656</f>
        <v>0</v>
      </c>
      <c r="I655" s="29">
        <f>I656</f>
        <v>0</v>
      </c>
      <c r="J655" s="260"/>
      <c r="M655" s="256"/>
      <c r="N655" s="256"/>
      <c r="O655" s="256"/>
      <c r="P655" s="330"/>
    </row>
    <row r="656" spans="1:32" s="54" customFormat="1" ht="15.75">
      <c r="A656" s="144">
        <v>640</v>
      </c>
      <c r="B656" s="320" t="s">
        <v>67</v>
      </c>
      <c r="C656" s="319">
        <v>952</v>
      </c>
      <c r="D656" s="34" t="s">
        <v>122</v>
      </c>
      <c r="E656" s="34" t="s">
        <v>550</v>
      </c>
      <c r="F656" s="319">
        <v>610</v>
      </c>
      <c r="G656" s="134">
        <v>50000</v>
      </c>
      <c r="H656" s="134">
        <v>0</v>
      </c>
      <c r="I656" s="157">
        <v>0</v>
      </c>
      <c r="J656" s="260"/>
      <c r="M656" s="256"/>
      <c r="N656" s="256"/>
      <c r="O656" s="256"/>
      <c r="P656" s="330"/>
    </row>
    <row r="657" spans="1:32" s="54" customFormat="1" ht="52.5" customHeight="1">
      <c r="A657" s="144">
        <v>641</v>
      </c>
      <c r="B657" s="320" t="s">
        <v>553</v>
      </c>
      <c r="C657" s="319">
        <v>952</v>
      </c>
      <c r="D657" s="34" t="s">
        <v>122</v>
      </c>
      <c r="E657" s="34" t="s">
        <v>552</v>
      </c>
      <c r="F657" s="319"/>
      <c r="G657" s="134">
        <f>G658</f>
        <v>100000</v>
      </c>
      <c r="H657" s="134">
        <f t="shared" ref="H657:I658" si="344">H658</f>
        <v>0</v>
      </c>
      <c r="I657" s="29">
        <f t="shared" si="344"/>
        <v>0</v>
      </c>
      <c r="J657" s="260"/>
      <c r="M657" s="256"/>
      <c r="N657" s="256"/>
      <c r="O657" s="256"/>
      <c r="P657" s="330"/>
    </row>
    <row r="658" spans="1:32" s="54" customFormat="1" ht="34.5" customHeight="1">
      <c r="A658" s="144">
        <v>642</v>
      </c>
      <c r="B658" s="320" t="s">
        <v>49</v>
      </c>
      <c r="C658" s="319">
        <v>952</v>
      </c>
      <c r="D658" s="34" t="s">
        <v>122</v>
      </c>
      <c r="E658" s="34" t="s">
        <v>552</v>
      </c>
      <c r="F658" s="319">
        <v>600</v>
      </c>
      <c r="G658" s="134">
        <f>G659</f>
        <v>100000</v>
      </c>
      <c r="H658" s="134">
        <f t="shared" si="344"/>
        <v>0</v>
      </c>
      <c r="I658" s="29">
        <f t="shared" si="344"/>
        <v>0</v>
      </c>
      <c r="J658" s="260"/>
      <c r="M658" s="256"/>
      <c r="N658" s="256"/>
      <c r="O658" s="256"/>
      <c r="P658" s="330"/>
    </row>
    <row r="659" spans="1:32" s="54" customFormat="1" ht="15.75">
      <c r="A659" s="144">
        <v>643</v>
      </c>
      <c r="B659" s="320" t="s">
        <v>67</v>
      </c>
      <c r="C659" s="319">
        <v>952</v>
      </c>
      <c r="D659" s="34" t="s">
        <v>122</v>
      </c>
      <c r="E659" s="34" t="s">
        <v>552</v>
      </c>
      <c r="F659" s="319">
        <v>610</v>
      </c>
      <c r="G659" s="134">
        <v>100000</v>
      </c>
      <c r="H659" s="134">
        <v>0</v>
      </c>
      <c r="I659" s="157">
        <v>0</v>
      </c>
      <c r="J659" s="332"/>
      <c r="M659" s="256"/>
      <c r="N659" s="256"/>
      <c r="O659" s="256"/>
      <c r="P659" s="330"/>
    </row>
    <row r="660" spans="1:32">
      <c r="A660" s="144">
        <v>644</v>
      </c>
      <c r="B660" s="143" t="s">
        <v>73</v>
      </c>
      <c r="C660" s="34">
        <v>952</v>
      </c>
      <c r="D660" s="34" t="s">
        <v>123</v>
      </c>
      <c r="E660" s="34"/>
      <c r="F660" s="144"/>
      <c r="G660" s="134">
        <f>G661+G670</f>
        <v>4810388.24</v>
      </c>
      <c r="H660" s="134">
        <f t="shared" ref="H660:I660" si="345">H661+H670</f>
        <v>4460330.24</v>
      </c>
      <c r="I660" s="29">
        <f t="shared" si="345"/>
        <v>4460330.24</v>
      </c>
      <c r="J660" s="261"/>
      <c r="M660" s="256"/>
      <c r="N660" s="256"/>
      <c r="O660" s="256"/>
      <c r="P660" s="330"/>
      <c r="AE660" s="54"/>
      <c r="AF660" s="54"/>
    </row>
    <row r="661" spans="1:32">
      <c r="A661" s="144">
        <v>645</v>
      </c>
      <c r="B661" s="298" t="s">
        <v>317</v>
      </c>
      <c r="C661" s="34">
        <v>952</v>
      </c>
      <c r="D661" s="34" t="s">
        <v>123</v>
      </c>
      <c r="E661" s="34" t="s">
        <v>189</v>
      </c>
      <c r="F661" s="144"/>
      <c r="G661" s="134">
        <f t="shared" ref="G661:I662" si="346">G662</f>
        <v>4770388.24</v>
      </c>
      <c r="H661" s="134">
        <f t="shared" si="346"/>
        <v>4460330.24</v>
      </c>
      <c r="I661" s="29">
        <f t="shared" si="346"/>
        <v>4460330.24</v>
      </c>
      <c r="M661" s="256"/>
      <c r="N661" s="256"/>
      <c r="O661" s="256"/>
      <c r="P661" s="330"/>
      <c r="AE661" s="54"/>
      <c r="AF661" s="54"/>
    </row>
    <row r="662" spans="1:32">
      <c r="A662" s="144">
        <v>646</v>
      </c>
      <c r="B662" s="298" t="s">
        <v>66</v>
      </c>
      <c r="C662" s="34">
        <v>952</v>
      </c>
      <c r="D662" s="34" t="s">
        <v>123</v>
      </c>
      <c r="E662" s="34" t="s">
        <v>208</v>
      </c>
      <c r="F662" s="144"/>
      <c r="G662" s="134">
        <f t="shared" si="346"/>
        <v>4770388.24</v>
      </c>
      <c r="H662" s="134">
        <f t="shared" si="346"/>
        <v>4460330.24</v>
      </c>
      <c r="I662" s="29">
        <f t="shared" si="346"/>
        <v>4460330.24</v>
      </c>
      <c r="M662" s="256"/>
      <c r="N662" s="256"/>
      <c r="O662" s="256"/>
      <c r="P662" s="330"/>
      <c r="AE662" s="54"/>
      <c r="AF662" s="54"/>
    </row>
    <row r="663" spans="1:32" ht="45">
      <c r="A663" s="144">
        <v>647</v>
      </c>
      <c r="B663" s="298" t="s">
        <v>361</v>
      </c>
      <c r="C663" s="34">
        <v>952</v>
      </c>
      <c r="D663" s="34" t="s">
        <v>123</v>
      </c>
      <c r="E663" s="34" t="s">
        <v>209</v>
      </c>
      <c r="F663" s="144"/>
      <c r="G663" s="134">
        <f t="shared" ref="G663" si="347">G664+G666+G668</f>
        <v>4770388.24</v>
      </c>
      <c r="H663" s="134">
        <f t="shared" ref="H663:I663" si="348">H664+H666+H668</f>
        <v>4460330.24</v>
      </c>
      <c r="I663" s="29">
        <f t="shared" si="348"/>
        <v>4460330.24</v>
      </c>
      <c r="M663" s="256"/>
      <c r="N663" s="256"/>
      <c r="O663" s="256"/>
      <c r="P663" s="330"/>
      <c r="AE663" s="54"/>
      <c r="AF663" s="54"/>
    </row>
    <row r="664" spans="1:32" ht="45">
      <c r="A664" s="144">
        <v>648</v>
      </c>
      <c r="B664" s="143" t="s">
        <v>15</v>
      </c>
      <c r="C664" s="34">
        <v>952</v>
      </c>
      <c r="D664" s="34" t="s">
        <v>123</v>
      </c>
      <c r="E664" s="34" t="s">
        <v>209</v>
      </c>
      <c r="F664" s="144">
        <v>100</v>
      </c>
      <c r="G664" s="134">
        <f t="shared" ref="G664:I664" si="349">G665</f>
        <v>4347960.24</v>
      </c>
      <c r="H664" s="134">
        <f t="shared" si="349"/>
        <v>4037902.24</v>
      </c>
      <c r="I664" s="29">
        <f t="shared" si="349"/>
        <v>4037902.24</v>
      </c>
      <c r="M664" s="256"/>
      <c r="N664" s="256"/>
      <c r="O664" s="256"/>
      <c r="P664" s="330"/>
      <c r="AE664" s="54"/>
      <c r="AF664" s="54"/>
    </row>
    <row r="665" spans="1:32">
      <c r="A665" s="144">
        <v>649</v>
      </c>
      <c r="B665" s="143" t="s">
        <v>63</v>
      </c>
      <c r="C665" s="34">
        <v>952</v>
      </c>
      <c r="D665" s="34" t="s">
        <v>123</v>
      </c>
      <c r="E665" s="34" t="s">
        <v>209</v>
      </c>
      <c r="F665" s="144">
        <v>110</v>
      </c>
      <c r="G665" s="134">
        <f>4037902.24+310058</f>
        <v>4347960.24</v>
      </c>
      <c r="H665" s="134">
        <v>4037902.24</v>
      </c>
      <c r="I665" s="157">
        <v>4037902.24</v>
      </c>
      <c r="M665" s="256"/>
      <c r="N665" s="256"/>
      <c r="O665" s="256"/>
      <c r="P665" s="330"/>
      <c r="AE665" s="54"/>
      <c r="AF665" s="54"/>
    </row>
    <row r="666" spans="1:32">
      <c r="A666" s="144">
        <v>650</v>
      </c>
      <c r="B666" s="143" t="s">
        <v>20</v>
      </c>
      <c r="C666" s="34">
        <v>952</v>
      </c>
      <c r="D666" s="34" t="s">
        <v>123</v>
      </c>
      <c r="E666" s="34" t="s">
        <v>209</v>
      </c>
      <c r="F666" s="144">
        <v>200</v>
      </c>
      <c r="G666" s="134">
        <f t="shared" ref="G666:I666" si="350">G667</f>
        <v>421928</v>
      </c>
      <c r="H666" s="134">
        <f t="shared" si="350"/>
        <v>421928</v>
      </c>
      <c r="I666" s="29">
        <f t="shared" si="350"/>
        <v>421928</v>
      </c>
      <c r="M666" s="256"/>
      <c r="N666" s="256"/>
      <c r="O666" s="256"/>
      <c r="P666" s="330"/>
      <c r="AE666" s="54"/>
      <c r="AF666" s="54"/>
    </row>
    <row r="667" spans="1:32">
      <c r="A667" s="144">
        <v>651</v>
      </c>
      <c r="B667" s="143" t="s">
        <v>21</v>
      </c>
      <c r="C667" s="34">
        <v>952</v>
      </c>
      <c r="D667" s="34" t="s">
        <v>123</v>
      </c>
      <c r="E667" s="34" t="s">
        <v>209</v>
      </c>
      <c r="F667" s="144">
        <v>240</v>
      </c>
      <c r="G667" s="134">
        <v>421928</v>
      </c>
      <c r="H667" s="134">
        <v>421928</v>
      </c>
      <c r="I667" s="157">
        <v>421928</v>
      </c>
      <c r="M667" s="256"/>
      <c r="N667" s="256"/>
      <c r="O667" s="256"/>
      <c r="P667" s="330"/>
      <c r="AE667" s="54"/>
      <c r="AF667" s="54"/>
    </row>
    <row r="668" spans="1:32">
      <c r="A668" s="144">
        <v>652</v>
      </c>
      <c r="B668" s="143" t="s">
        <v>32</v>
      </c>
      <c r="C668" s="34">
        <v>952</v>
      </c>
      <c r="D668" s="34" t="s">
        <v>123</v>
      </c>
      <c r="E668" s="34" t="s">
        <v>209</v>
      </c>
      <c r="F668" s="144">
        <v>800</v>
      </c>
      <c r="G668" s="134">
        <f t="shared" ref="G668:I668" si="351">G669</f>
        <v>500</v>
      </c>
      <c r="H668" s="134">
        <f t="shared" si="351"/>
        <v>500</v>
      </c>
      <c r="I668" s="29">
        <f t="shared" si="351"/>
        <v>500</v>
      </c>
      <c r="M668" s="256"/>
      <c r="N668" s="256"/>
      <c r="O668" s="256"/>
      <c r="P668" s="330"/>
      <c r="AE668" s="54"/>
      <c r="AF668" s="54"/>
    </row>
    <row r="669" spans="1:32">
      <c r="A669" s="144">
        <v>653</v>
      </c>
      <c r="B669" s="143" t="s">
        <v>80</v>
      </c>
      <c r="C669" s="34">
        <v>952</v>
      </c>
      <c r="D669" s="34" t="s">
        <v>123</v>
      </c>
      <c r="E669" s="34" t="s">
        <v>209</v>
      </c>
      <c r="F669" s="144">
        <v>850</v>
      </c>
      <c r="G669" s="134">
        <v>500</v>
      </c>
      <c r="H669" s="134">
        <v>500</v>
      </c>
      <c r="I669" s="157">
        <v>500</v>
      </c>
      <c r="M669" s="256"/>
      <c r="N669" s="256"/>
      <c r="O669" s="256"/>
      <c r="P669" s="330"/>
      <c r="AE669" s="54"/>
      <c r="AF669" s="54"/>
    </row>
    <row r="670" spans="1:32">
      <c r="A670" s="144">
        <v>654</v>
      </c>
      <c r="B670" s="143" t="s">
        <v>239</v>
      </c>
      <c r="C670" s="34" t="s">
        <v>304</v>
      </c>
      <c r="D670" s="34" t="s">
        <v>461</v>
      </c>
      <c r="E670" s="34" t="s">
        <v>240</v>
      </c>
      <c r="F670" s="144"/>
      <c r="G670" s="134">
        <f>G671</f>
        <v>40000</v>
      </c>
      <c r="H670" s="134">
        <f t="shared" ref="H670:I672" si="352">H671</f>
        <v>0</v>
      </c>
      <c r="I670" s="29">
        <f t="shared" si="352"/>
        <v>0</v>
      </c>
      <c r="M670" s="256"/>
      <c r="N670" s="256"/>
      <c r="O670" s="256"/>
      <c r="P670" s="330"/>
      <c r="AE670" s="54"/>
      <c r="AF670" s="54"/>
    </row>
    <row r="671" spans="1:32" ht="55.5" customHeight="1">
      <c r="A671" s="144">
        <v>655</v>
      </c>
      <c r="B671" s="143" t="s">
        <v>462</v>
      </c>
      <c r="C671" s="34" t="s">
        <v>304</v>
      </c>
      <c r="D671" s="34" t="s">
        <v>123</v>
      </c>
      <c r="E671" s="34" t="s">
        <v>463</v>
      </c>
      <c r="F671" s="144"/>
      <c r="G671" s="134">
        <f>G672</f>
        <v>40000</v>
      </c>
      <c r="H671" s="134">
        <f t="shared" si="352"/>
        <v>0</v>
      </c>
      <c r="I671" s="29">
        <f t="shared" si="352"/>
        <v>0</v>
      </c>
      <c r="M671" s="256"/>
      <c r="N671" s="256"/>
      <c r="O671" s="256"/>
      <c r="P671" s="330"/>
      <c r="AE671" s="54"/>
      <c r="AF671" s="54"/>
    </row>
    <row r="672" spans="1:32" ht="31.5">
      <c r="A672" s="144">
        <v>656</v>
      </c>
      <c r="B672" s="320" t="s">
        <v>49</v>
      </c>
      <c r="C672" s="34" t="s">
        <v>304</v>
      </c>
      <c r="D672" s="34" t="s">
        <v>123</v>
      </c>
      <c r="E672" s="34" t="s">
        <v>463</v>
      </c>
      <c r="F672" s="144">
        <v>600</v>
      </c>
      <c r="G672" s="134">
        <f>G673</f>
        <v>40000</v>
      </c>
      <c r="H672" s="134">
        <f t="shared" si="352"/>
        <v>0</v>
      </c>
      <c r="I672" s="29">
        <f t="shared" si="352"/>
        <v>0</v>
      </c>
      <c r="M672" s="256"/>
      <c r="N672" s="256"/>
      <c r="O672" s="256"/>
      <c r="P672" s="330"/>
      <c r="AE672" s="54"/>
      <c r="AF672" s="54"/>
    </row>
    <row r="673" spans="1:32" ht="15.75">
      <c r="A673" s="144">
        <v>657</v>
      </c>
      <c r="B673" s="320" t="s">
        <v>67</v>
      </c>
      <c r="C673" s="34" t="s">
        <v>304</v>
      </c>
      <c r="D673" s="34" t="s">
        <v>123</v>
      </c>
      <c r="E673" s="34" t="s">
        <v>463</v>
      </c>
      <c r="F673" s="144">
        <v>610</v>
      </c>
      <c r="G673" s="134">
        <v>40000</v>
      </c>
      <c r="H673" s="134">
        <v>0</v>
      </c>
      <c r="I673" s="157">
        <v>0</v>
      </c>
      <c r="M673" s="256"/>
      <c r="N673" s="256"/>
      <c r="O673" s="256"/>
      <c r="P673" s="330"/>
      <c r="AE673" s="54"/>
      <c r="AF673" s="54"/>
    </row>
    <row r="674" spans="1:32" ht="15.75">
      <c r="A674" s="144">
        <v>658</v>
      </c>
      <c r="B674" s="318" t="s">
        <v>248</v>
      </c>
      <c r="C674" s="319">
        <v>952</v>
      </c>
      <c r="D674" s="321" t="s">
        <v>250</v>
      </c>
      <c r="E674" s="34"/>
      <c r="F674" s="319"/>
      <c r="G674" s="134">
        <f t="shared" ref="G674:I674" si="353">G675</f>
        <v>120000</v>
      </c>
      <c r="H674" s="134">
        <f t="shared" si="353"/>
        <v>120000</v>
      </c>
      <c r="I674" s="29">
        <f t="shared" si="353"/>
        <v>120000</v>
      </c>
      <c r="M674" s="256"/>
      <c r="N674" s="256"/>
      <c r="O674" s="256"/>
      <c r="P674" s="330"/>
      <c r="AE674" s="54"/>
      <c r="AF674" s="54"/>
    </row>
    <row r="675" spans="1:32" ht="15.75">
      <c r="A675" s="144">
        <v>659</v>
      </c>
      <c r="B675" s="322" t="s">
        <v>249</v>
      </c>
      <c r="C675" s="319">
        <v>952</v>
      </c>
      <c r="D675" s="321">
        <v>1101</v>
      </c>
      <c r="E675" s="34"/>
      <c r="F675" s="319"/>
      <c r="G675" s="134">
        <f t="shared" ref="G675:I675" si="354">G676</f>
        <v>120000</v>
      </c>
      <c r="H675" s="134">
        <f t="shared" si="354"/>
        <v>120000</v>
      </c>
      <c r="I675" s="29">
        <f t="shared" si="354"/>
        <v>120000</v>
      </c>
      <c r="M675" s="256"/>
      <c r="N675" s="256"/>
      <c r="O675" s="256"/>
      <c r="P675" s="330"/>
      <c r="AE675" s="54"/>
      <c r="AF675" s="54"/>
    </row>
    <row r="676" spans="1:32" ht="30">
      <c r="A676" s="144">
        <v>660</v>
      </c>
      <c r="B676" s="323" t="s">
        <v>251</v>
      </c>
      <c r="C676" s="34">
        <v>952</v>
      </c>
      <c r="D676" s="34" t="s">
        <v>252</v>
      </c>
      <c r="E676" s="34" t="s">
        <v>359</v>
      </c>
      <c r="F676" s="319"/>
      <c r="G676" s="134">
        <f t="shared" ref="G676" si="355">G677+G681</f>
        <v>120000</v>
      </c>
      <c r="H676" s="134">
        <f t="shared" ref="H676:I676" si="356">H677+H681</f>
        <v>120000</v>
      </c>
      <c r="I676" s="29">
        <f t="shared" si="356"/>
        <v>120000</v>
      </c>
      <c r="M676" s="256"/>
      <c r="N676" s="256"/>
      <c r="O676" s="256"/>
      <c r="P676" s="330"/>
      <c r="AE676" s="54"/>
      <c r="AF676" s="54"/>
    </row>
    <row r="677" spans="1:32" ht="30">
      <c r="A677" s="144">
        <v>661</v>
      </c>
      <c r="B677" s="307" t="s">
        <v>314</v>
      </c>
      <c r="C677" s="319">
        <v>952</v>
      </c>
      <c r="D677" s="321" t="s">
        <v>252</v>
      </c>
      <c r="E677" s="34" t="s">
        <v>353</v>
      </c>
      <c r="F677" s="319"/>
      <c r="G677" s="134">
        <f t="shared" ref="G677:I677" si="357">G678</f>
        <v>30000</v>
      </c>
      <c r="H677" s="134">
        <f t="shared" si="357"/>
        <v>30000</v>
      </c>
      <c r="I677" s="29">
        <f t="shared" si="357"/>
        <v>30000</v>
      </c>
      <c r="M677" s="256"/>
      <c r="N677" s="256"/>
      <c r="O677" s="256"/>
      <c r="P677" s="330"/>
      <c r="AE677" s="54"/>
      <c r="AF677" s="54"/>
    </row>
    <row r="678" spans="1:32" ht="60">
      <c r="A678" s="144">
        <v>662</v>
      </c>
      <c r="B678" s="307" t="s">
        <v>357</v>
      </c>
      <c r="C678" s="319">
        <v>952</v>
      </c>
      <c r="D678" s="321" t="s">
        <v>252</v>
      </c>
      <c r="E678" s="34" t="s">
        <v>354</v>
      </c>
      <c r="F678" s="319"/>
      <c r="G678" s="134">
        <f t="shared" ref="G678:I679" si="358">G679</f>
        <v>30000</v>
      </c>
      <c r="H678" s="134">
        <f t="shared" si="358"/>
        <v>30000</v>
      </c>
      <c r="I678" s="29">
        <f t="shared" si="358"/>
        <v>30000</v>
      </c>
      <c r="M678" s="256"/>
      <c r="N678" s="256"/>
      <c r="O678" s="256"/>
      <c r="P678" s="330"/>
      <c r="AE678" s="54"/>
      <c r="AF678" s="54"/>
    </row>
    <row r="679" spans="1:32" ht="31.5">
      <c r="A679" s="144">
        <v>663</v>
      </c>
      <c r="B679" s="320" t="s">
        <v>49</v>
      </c>
      <c r="C679" s="319">
        <v>952</v>
      </c>
      <c r="D679" s="321" t="s">
        <v>252</v>
      </c>
      <c r="E679" s="34" t="s">
        <v>354</v>
      </c>
      <c r="F679" s="319">
        <v>600</v>
      </c>
      <c r="G679" s="134">
        <f t="shared" ref="G679" si="359">G680</f>
        <v>30000</v>
      </c>
      <c r="H679" s="134">
        <f t="shared" si="358"/>
        <v>30000</v>
      </c>
      <c r="I679" s="29">
        <f t="shared" si="358"/>
        <v>30000</v>
      </c>
      <c r="M679" s="256"/>
      <c r="N679" s="256"/>
      <c r="O679" s="256"/>
      <c r="P679" s="330"/>
      <c r="AE679" s="54"/>
      <c r="AF679" s="54"/>
    </row>
    <row r="680" spans="1:32" ht="15.75">
      <c r="A680" s="144">
        <v>664</v>
      </c>
      <c r="B680" s="320" t="s">
        <v>67</v>
      </c>
      <c r="C680" s="319">
        <v>952</v>
      </c>
      <c r="D680" s="321" t="s">
        <v>252</v>
      </c>
      <c r="E680" s="34" t="s">
        <v>354</v>
      </c>
      <c r="F680" s="319">
        <v>610</v>
      </c>
      <c r="G680" s="134">
        <v>30000</v>
      </c>
      <c r="H680" s="134">
        <v>30000</v>
      </c>
      <c r="I680" s="157">
        <v>30000</v>
      </c>
      <c r="M680" s="256"/>
      <c r="N680" s="256"/>
      <c r="O680" s="256"/>
      <c r="P680" s="330"/>
      <c r="AE680" s="54"/>
      <c r="AF680" s="54"/>
    </row>
    <row r="681" spans="1:32" ht="31.5">
      <c r="A681" s="144">
        <v>665</v>
      </c>
      <c r="B681" s="318" t="s">
        <v>315</v>
      </c>
      <c r="C681" s="319">
        <v>952</v>
      </c>
      <c r="D681" s="321" t="s">
        <v>252</v>
      </c>
      <c r="E681" s="34" t="s">
        <v>355</v>
      </c>
      <c r="F681" s="319"/>
      <c r="G681" s="134">
        <f t="shared" ref="G681:I683" si="360">G682</f>
        <v>90000</v>
      </c>
      <c r="H681" s="134">
        <f t="shared" si="360"/>
        <v>90000</v>
      </c>
      <c r="I681" s="29">
        <f t="shared" si="360"/>
        <v>90000</v>
      </c>
      <c r="M681" s="256"/>
      <c r="N681" s="256"/>
      <c r="O681" s="256"/>
      <c r="P681" s="330"/>
      <c r="AE681" s="54"/>
      <c r="AF681" s="54"/>
    </row>
    <row r="682" spans="1:32" ht="78.75">
      <c r="A682" s="144">
        <v>666</v>
      </c>
      <c r="B682" s="318" t="s">
        <v>358</v>
      </c>
      <c r="C682" s="319">
        <v>952</v>
      </c>
      <c r="D682" s="321" t="s">
        <v>252</v>
      </c>
      <c r="E682" s="34" t="s">
        <v>356</v>
      </c>
      <c r="F682" s="319"/>
      <c r="G682" s="134">
        <f t="shared" si="360"/>
        <v>90000</v>
      </c>
      <c r="H682" s="134">
        <f t="shared" si="360"/>
        <v>90000</v>
      </c>
      <c r="I682" s="29">
        <f t="shared" si="360"/>
        <v>90000</v>
      </c>
      <c r="M682" s="256"/>
      <c r="N682" s="256"/>
      <c r="O682" s="256"/>
      <c r="P682" s="330"/>
      <c r="AE682" s="54"/>
      <c r="AF682" s="54"/>
    </row>
    <row r="683" spans="1:32" ht="31.5">
      <c r="A683" s="144">
        <v>667</v>
      </c>
      <c r="B683" s="320" t="s">
        <v>49</v>
      </c>
      <c r="C683" s="319">
        <v>952</v>
      </c>
      <c r="D683" s="321" t="s">
        <v>252</v>
      </c>
      <c r="E683" s="34" t="s">
        <v>356</v>
      </c>
      <c r="F683" s="319">
        <v>600</v>
      </c>
      <c r="G683" s="134">
        <f t="shared" si="360"/>
        <v>90000</v>
      </c>
      <c r="H683" s="134">
        <f t="shared" si="360"/>
        <v>90000</v>
      </c>
      <c r="I683" s="29">
        <f t="shared" si="360"/>
        <v>90000</v>
      </c>
      <c r="M683" s="256"/>
      <c r="N683" s="256"/>
      <c r="O683" s="256"/>
      <c r="P683" s="330"/>
      <c r="AE683" s="54"/>
      <c r="AF683" s="54"/>
    </row>
    <row r="684" spans="1:32" ht="15.75">
      <c r="A684" s="144">
        <v>668</v>
      </c>
      <c r="B684" s="320" t="s">
        <v>67</v>
      </c>
      <c r="C684" s="319">
        <v>952</v>
      </c>
      <c r="D684" s="321" t="s">
        <v>252</v>
      </c>
      <c r="E684" s="34" t="s">
        <v>356</v>
      </c>
      <c r="F684" s="319">
        <v>610</v>
      </c>
      <c r="G684" s="134">
        <v>90000</v>
      </c>
      <c r="H684" s="134">
        <v>90000</v>
      </c>
      <c r="I684" s="157">
        <v>90000</v>
      </c>
      <c r="M684" s="256"/>
      <c r="N684" s="256"/>
      <c r="O684" s="256"/>
      <c r="P684" s="330"/>
      <c r="AE684" s="54"/>
      <c r="AF684" s="54"/>
    </row>
    <row r="685" spans="1:32" ht="30" customHeight="1">
      <c r="A685" s="144">
        <v>669</v>
      </c>
      <c r="B685" s="304" t="s">
        <v>237</v>
      </c>
      <c r="C685" s="294">
        <v>955</v>
      </c>
      <c r="D685" s="295"/>
      <c r="E685" s="294"/>
      <c r="F685" s="295"/>
      <c r="G685" s="296">
        <f t="shared" ref="G685:I688" si="361">G686</f>
        <v>4727782.6499999994</v>
      </c>
      <c r="H685" s="296">
        <f t="shared" si="361"/>
        <v>4537950.6499999994</v>
      </c>
      <c r="I685" s="46">
        <f t="shared" si="361"/>
        <v>4109739.6499999994</v>
      </c>
      <c r="M685" s="256"/>
      <c r="N685" s="256"/>
      <c r="O685" s="256"/>
      <c r="P685" s="330"/>
      <c r="AE685" s="54"/>
      <c r="AF685" s="54"/>
    </row>
    <row r="686" spans="1:32">
      <c r="A686" s="144">
        <v>670</v>
      </c>
      <c r="B686" s="297" t="s">
        <v>85</v>
      </c>
      <c r="C686" s="34">
        <v>955</v>
      </c>
      <c r="D686" s="34" t="s">
        <v>86</v>
      </c>
      <c r="E686" s="34"/>
      <c r="F686" s="144"/>
      <c r="G686" s="134">
        <f t="shared" si="361"/>
        <v>4727782.6499999994</v>
      </c>
      <c r="H686" s="134">
        <f t="shared" si="361"/>
        <v>4537950.6499999994</v>
      </c>
      <c r="I686" s="29">
        <f t="shared" si="361"/>
        <v>4109739.6499999994</v>
      </c>
      <c r="M686" s="256"/>
      <c r="N686" s="256"/>
      <c r="O686" s="256"/>
      <c r="P686" s="330"/>
      <c r="AE686" s="54"/>
      <c r="AF686" s="54"/>
    </row>
    <row r="687" spans="1:32" ht="30">
      <c r="A687" s="144">
        <v>671</v>
      </c>
      <c r="B687" s="143" t="s">
        <v>12</v>
      </c>
      <c r="C687" s="34">
        <v>955</v>
      </c>
      <c r="D687" s="34" t="s">
        <v>92</v>
      </c>
      <c r="E687" s="34"/>
      <c r="F687" s="144"/>
      <c r="G687" s="134">
        <f t="shared" si="361"/>
        <v>4727782.6499999994</v>
      </c>
      <c r="H687" s="134">
        <f t="shared" si="361"/>
        <v>4537950.6499999994</v>
      </c>
      <c r="I687" s="29">
        <f t="shared" si="361"/>
        <v>4109739.6499999994</v>
      </c>
      <c r="M687" s="256"/>
      <c r="N687" s="256"/>
      <c r="O687" s="256"/>
      <c r="P687" s="330"/>
      <c r="AE687" s="54"/>
      <c r="AF687" s="54"/>
    </row>
    <row r="688" spans="1:32">
      <c r="A688" s="144">
        <v>672</v>
      </c>
      <c r="B688" s="143" t="s">
        <v>277</v>
      </c>
      <c r="C688" s="34">
        <v>955</v>
      </c>
      <c r="D688" s="34" t="s">
        <v>92</v>
      </c>
      <c r="E688" s="34">
        <v>8200000000</v>
      </c>
      <c r="F688" s="144"/>
      <c r="G688" s="134">
        <f t="shared" si="361"/>
        <v>4727782.6499999994</v>
      </c>
      <c r="H688" s="134">
        <f t="shared" si="361"/>
        <v>4537950.6499999994</v>
      </c>
      <c r="I688" s="29">
        <f t="shared" si="361"/>
        <v>4109739.6499999994</v>
      </c>
      <c r="M688" s="256"/>
      <c r="N688" s="256"/>
      <c r="O688" s="256"/>
      <c r="P688" s="330"/>
      <c r="AE688" s="54"/>
      <c r="AF688" s="54"/>
    </row>
    <row r="689" spans="1:32">
      <c r="A689" s="144">
        <v>673</v>
      </c>
      <c r="B689" s="299" t="s">
        <v>278</v>
      </c>
      <c r="C689" s="34">
        <v>955</v>
      </c>
      <c r="D689" s="34" t="s">
        <v>92</v>
      </c>
      <c r="E689" s="34">
        <v>8210000000</v>
      </c>
      <c r="F689" s="144"/>
      <c r="G689" s="134">
        <f>G690+G697+G700</f>
        <v>4727782.6499999994</v>
      </c>
      <c r="H689" s="134">
        <f t="shared" ref="H689:I689" si="362">H690+H697+H700</f>
        <v>4537950.6499999994</v>
      </c>
      <c r="I689" s="29">
        <f t="shared" si="362"/>
        <v>4109739.6499999994</v>
      </c>
      <c r="M689" s="256"/>
      <c r="N689" s="256"/>
      <c r="O689" s="256"/>
      <c r="P689" s="330"/>
      <c r="AE689" s="54"/>
      <c r="AF689" s="54"/>
    </row>
    <row r="690" spans="1:32">
      <c r="A690" s="144">
        <v>674</v>
      </c>
      <c r="B690" s="143" t="s">
        <v>75</v>
      </c>
      <c r="C690" s="34">
        <v>955</v>
      </c>
      <c r="D690" s="34" t="s">
        <v>92</v>
      </c>
      <c r="E690" s="34">
        <v>8210000210</v>
      </c>
      <c r="F690" s="144"/>
      <c r="G690" s="134">
        <f t="shared" ref="G690:I690" si="363">G691+G693+G695</f>
        <v>2856260.8999999994</v>
      </c>
      <c r="H690" s="134">
        <f t="shared" si="363"/>
        <v>2729706.0999999996</v>
      </c>
      <c r="I690" s="29">
        <f t="shared" si="363"/>
        <v>2729706.0999999996</v>
      </c>
      <c r="M690" s="256"/>
      <c r="N690" s="256"/>
      <c r="O690" s="256"/>
      <c r="P690" s="330"/>
      <c r="AE690" s="54"/>
      <c r="AF690" s="54"/>
    </row>
    <row r="691" spans="1:32" ht="45">
      <c r="A691" s="144">
        <v>675</v>
      </c>
      <c r="B691" s="143" t="s">
        <v>15</v>
      </c>
      <c r="C691" s="34">
        <v>955</v>
      </c>
      <c r="D691" s="34" t="s">
        <v>92</v>
      </c>
      <c r="E691" s="34">
        <v>8210000210</v>
      </c>
      <c r="F691" s="144">
        <v>100</v>
      </c>
      <c r="G691" s="134">
        <f t="shared" ref="G691:I691" si="364">G692</f>
        <v>2593618.0799999996</v>
      </c>
      <c r="H691" s="134">
        <f t="shared" si="364"/>
        <v>2467063.2799999998</v>
      </c>
      <c r="I691" s="29">
        <f t="shared" si="364"/>
        <v>2467063.2799999998</v>
      </c>
      <c r="M691" s="256"/>
      <c r="N691" s="256"/>
      <c r="O691" s="256"/>
      <c r="P691" s="330"/>
      <c r="AE691" s="54"/>
      <c r="AF691" s="54"/>
    </row>
    <row r="692" spans="1:32">
      <c r="A692" s="144">
        <v>676</v>
      </c>
      <c r="B692" s="143" t="s">
        <v>16</v>
      </c>
      <c r="C692" s="34">
        <v>955</v>
      </c>
      <c r="D692" s="34" t="s">
        <v>92</v>
      </c>
      <c r="E692" s="34">
        <v>8210000210</v>
      </c>
      <c r="F692" s="144">
        <v>120</v>
      </c>
      <c r="G692" s="134">
        <f>2467063.28-483782+126554.8+483782</f>
        <v>2593618.0799999996</v>
      </c>
      <c r="H692" s="134">
        <f>2467063.28-483782+483782</f>
        <v>2467063.2799999998</v>
      </c>
      <c r="I692" s="157">
        <v>2467063.2799999998</v>
      </c>
      <c r="M692" s="256"/>
      <c r="N692" s="256"/>
      <c r="O692" s="256"/>
      <c r="P692" s="330"/>
      <c r="AE692" s="54"/>
      <c r="AF692" s="54"/>
    </row>
    <row r="693" spans="1:32">
      <c r="A693" s="144">
        <v>677</v>
      </c>
      <c r="B693" s="143" t="s">
        <v>20</v>
      </c>
      <c r="C693" s="34">
        <v>955</v>
      </c>
      <c r="D693" s="34" t="s">
        <v>92</v>
      </c>
      <c r="E693" s="34">
        <v>8210000210</v>
      </c>
      <c r="F693" s="144">
        <v>200</v>
      </c>
      <c r="G693" s="134">
        <f t="shared" ref="G693:I693" si="365">G694</f>
        <v>262142.82</v>
      </c>
      <c r="H693" s="134">
        <f t="shared" si="365"/>
        <v>262142.82</v>
      </c>
      <c r="I693" s="29">
        <f t="shared" si="365"/>
        <v>262142.82</v>
      </c>
      <c r="M693" s="256"/>
      <c r="N693" s="256"/>
      <c r="O693" s="256"/>
      <c r="P693" s="330"/>
      <c r="AE693" s="54"/>
      <c r="AF693" s="54"/>
    </row>
    <row r="694" spans="1:32">
      <c r="A694" s="144">
        <v>678</v>
      </c>
      <c r="B694" s="143" t="s">
        <v>21</v>
      </c>
      <c r="C694" s="34">
        <v>955</v>
      </c>
      <c r="D694" s="34" t="s">
        <v>92</v>
      </c>
      <c r="E694" s="34">
        <v>8210000210</v>
      </c>
      <c r="F694" s="144">
        <v>240</v>
      </c>
      <c r="G694" s="134">
        <v>262142.82</v>
      </c>
      <c r="H694" s="134">
        <v>262142.82</v>
      </c>
      <c r="I694" s="157">
        <v>262142.82</v>
      </c>
      <c r="M694" s="256"/>
      <c r="N694" s="256"/>
      <c r="O694" s="256"/>
      <c r="P694" s="330"/>
      <c r="AE694" s="54"/>
      <c r="AF694" s="54"/>
    </row>
    <row r="695" spans="1:32">
      <c r="A695" s="144">
        <v>679</v>
      </c>
      <c r="B695" s="143" t="s">
        <v>32</v>
      </c>
      <c r="C695" s="34">
        <v>955</v>
      </c>
      <c r="D695" s="34" t="s">
        <v>92</v>
      </c>
      <c r="E695" s="34">
        <v>8210000210</v>
      </c>
      <c r="F695" s="144">
        <v>800</v>
      </c>
      <c r="G695" s="134">
        <f t="shared" ref="G695:I695" si="366">G696</f>
        <v>500</v>
      </c>
      <c r="H695" s="134">
        <f t="shared" si="366"/>
        <v>500</v>
      </c>
      <c r="I695" s="29">
        <f t="shared" si="366"/>
        <v>500</v>
      </c>
      <c r="M695" s="256"/>
      <c r="N695" s="256"/>
      <c r="O695" s="256"/>
      <c r="P695" s="330"/>
      <c r="AE695" s="54"/>
      <c r="AF695" s="54"/>
    </row>
    <row r="696" spans="1:32">
      <c r="A696" s="144">
        <v>680</v>
      </c>
      <c r="B696" s="143" t="s">
        <v>80</v>
      </c>
      <c r="C696" s="34">
        <v>955</v>
      </c>
      <c r="D696" s="34" t="s">
        <v>92</v>
      </c>
      <c r="E696" s="34">
        <v>8210000210</v>
      </c>
      <c r="F696" s="144">
        <v>850</v>
      </c>
      <c r="G696" s="134">
        <v>500</v>
      </c>
      <c r="H696" s="134">
        <v>500</v>
      </c>
      <c r="I696" s="29">
        <v>500</v>
      </c>
      <c r="M696" s="256"/>
      <c r="N696" s="256"/>
      <c r="O696" s="256"/>
      <c r="P696" s="330"/>
      <c r="AE696" s="54"/>
      <c r="AF696" s="54"/>
    </row>
    <row r="697" spans="1:32">
      <c r="A697" s="144">
        <v>681</v>
      </c>
      <c r="B697" s="299" t="s">
        <v>452</v>
      </c>
      <c r="C697" s="34">
        <v>955</v>
      </c>
      <c r="D697" s="34" t="s">
        <v>92</v>
      </c>
      <c r="E697" s="34">
        <v>8210000250</v>
      </c>
      <c r="F697" s="144"/>
      <c r="G697" s="134">
        <f t="shared" ref="G697:I698" si="367">G698</f>
        <v>1443310.75</v>
      </c>
      <c r="H697" s="134">
        <f t="shared" si="367"/>
        <v>1380033.55</v>
      </c>
      <c r="I697" s="29">
        <f t="shared" si="367"/>
        <v>1380033.55</v>
      </c>
      <c r="M697" s="256"/>
      <c r="N697" s="256"/>
      <c r="O697" s="256"/>
      <c r="P697" s="330"/>
      <c r="AE697" s="54"/>
      <c r="AF697" s="54"/>
    </row>
    <row r="698" spans="1:32" ht="45">
      <c r="A698" s="144">
        <v>682</v>
      </c>
      <c r="B698" s="143" t="s">
        <v>15</v>
      </c>
      <c r="C698" s="34">
        <v>955</v>
      </c>
      <c r="D698" s="34" t="s">
        <v>92</v>
      </c>
      <c r="E698" s="34">
        <v>8210000250</v>
      </c>
      <c r="F698" s="144">
        <v>100</v>
      </c>
      <c r="G698" s="134">
        <f t="shared" si="367"/>
        <v>1443310.75</v>
      </c>
      <c r="H698" s="134">
        <f t="shared" si="367"/>
        <v>1380033.55</v>
      </c>
      <c r="I698" s="29">
        <f t="shared" si="367"/>
        <v>1380033.55</v>
      </c>
      <c r="M698" s="256"/>
      <c r="N698" s="256"/>
      <c r="O698" s="256"/>
      <c r="P698" s="330"/>
      <c r="AE698" s="54"/>
      <c r="AF698" s="54"/>
    </row>
    <row r="699" spans="1:32">
      <c r="A699" s="144">
        <v>683</v>
      </c>
      <c r="B699" s="143" t="s">
        <v>16</v>
      </c>
      <c r="C699" s="34">
        <v>955</v>
      </c>
      <c r="D699" s="34" t="s">
        <v>92</v>
      </c>
      <c r="E699" s="34">
        <v>8210000250</v>
      </c>
      <c r="F699" s="144">
        <v>120</v>
      </c>
      <c r="G699" s="134">
        <f>1380033.55+63277.2</f>
        <v>1443310.75</v>
      </c>
      <c r="H699" s="134">
        <v>1380033.55</v>
      </c>
      <c r="I699" s="157">
        <v>1380033.55</v>
      </c>
      <c r="M699" s="256"/>
      <c r="N699" s="256"/>
      <c r="O699" s="256"/>
      <c r="P699" s="330"/>
      <c r="AE699" s="54"/>
      <c r="AF699" s="54"/>
    </row>
    <row r="700" spans="1:32" ht="30">
      <c r="A700" s="144">
        <v>684</v>
      </c>
      <c r="B700" s="143" t="s">
        <v>500</v>
      </c>
      <c r="C700" s="34" t="s">
        <v>501</v>
      </c>
      <c r="D700" s="34" t="s">
        <v>92</v>
      </c>
      <c r="E700" s="34" t="s">
        <v>502</v>
      </c>
      <c r="F700" s="144"/>
      <c r="G700" s="134">
        <f>G701</f>
        <v>428211</v>
      </c>
      <c r="H700" s="134">
        <f t="shared" ref="H700:I700" si="368">H701</f>
        <v>428211</v>
      </c>
      <c r="I700" s="29">
        <f t="shared" si="368"/>
        <v>0</v>
      </c>
      <c r="M700" s="256"/>
      <c r="N700" s="256"/>
      <c r="O700" s="256"/>
      <c r="P700" s="330"/>
      <c r="AE700" s="54"/>
      <c r="AF700" s="54"/>
    </row>
    <row r="701" spans="1:32">
      <c r="A701" s="144">
        <v>685</v>
      </c>
      <c r="B701" s="143" t="s">
        <v>537</v>
      </c>
      <c r="C701" s="34" t="s">
        <v>501</v>
      </c>
      <c r="D701" s="34" t="s">
        <v>92</v>
      </c>
      <c r="E701" s="34" t="s">
        <v>502</v>
      </c>
      <c r="F701" s="144">
        <v>200</v>
      </c>
      <c r="G701" s="134">
        <f>G702</f>
        <v>428211</v>
      </c>
      <c r="H701" s="134">
        <f>H702</f>
        <v>428211</v>
      </c>
      <c r="I701" s="157">
        <f>I702</f>
        <v>0</v>
      </c>
      <c r="M701" s="256"/>
      <c r="N701" s="256"/>
      <c r="O701" s="256"/>
      <c r="P701" s="330"/>
      <c r="AE701" s="54"/>
      <c r="AF701" s="54"/>
    </row>
    <row r="702" spans="1:32" ht="23.25" customHeight="1">
      <c r="A702" s="144">
        <v>686</v>
      </c>
      <c r="B702" s="143" t="s">
        <v>538</v>
      </c>
      <c r="C702" s="34" t="s">
        <v>501</v>
      </c>
      <c r="D702" s="34" t="s">
        <v>92</v>
      </c>
      <c r="E702" s="34" t="s">
        <v>502</v>
      </c>
      <c r="F702" s="144">
        <v>240</v>
      </c>
      <c r="G702" s="134">
        <f>483782-55571</f>
        <v>428211</v>
      </c>
      <c r="H702" s="134">
        <f>483782-55571</f>
        <v>428211</v>
      </c>
      <c r="I702" s="157">
        <v>0</v>
      </c>
      <c r="J702" s="254"/>
      <c r="K702" s="254"/>
      <c r="M702" s="256"/>
      <c r="N702" s="256"/>
      <c r="O702" s="256"/>
      <c r="P702" s="330"/>
      <c r="AE702" s="54"/>
      <c r="AF702" s="54"/>
    </row>
    <row r="703" spans="1:32" ht="33.75" customHeight="1">
      <c r="A703" s="144">
        <v>687</v>
      </c>
      <c r="B703" s="304" t="s">
        <v>238</v>
      </c>
      <c r="C703" s="294">
        <v>957</v>
      </c>
      <c r="D703" s="295"/>
      <c r="E703" s="294"/>
      <c r="F703" s="295"/>
      <c r="G703" s="296">
        <f t="shared" ref="G703:I704" si="369">G704</f>
        <v>7029019.8199999994</v>
      </c>
      <c r="H703" s="296">
        <f t="shared" si="369"/>
        <v>8029741.9500000002</v>
      </c>
      <c r="I703" s="46">
        <f t="shared" si="369"/>
        <v>8029741.9500000002</v>
      </c>
      <c r="M703" s="256"/>
      <c r="N703" s="256"/>
      <c r="O703" s="256"/>
      <c r="P703" s="330"/>
      <c r="AE703" s="54"/>
      <c r="AF703" s="54"/>
    </row>
    <row r="704" spans="1:32">
      <c r="A704" s="144">
        <v>688</v>
      </c>
      <c r="B704" s="297" t="s">
        <v>85</v>
      </c>
      <c r="C704" s="34">
        <v>957</v>
      </c>
      <c r="D704" s="34" t="s">
        <v>86</v>
      </c>
      <c r="E704" s="34"/>
      <c r="F704" s="144"/>
      <c r="G704" s="134">
        <f t="shared" si="369"/>
        <v>7029019.8199999994</v>
      </c>
      <c r="H704" s="134">
        <f t="shared" si="369"/>
        <v>8029741.9500000002</v>
      </c>
      <c r="I704" s="29">
        <f t="shared" si="369"/>
        <v>8029741.9500000002</v>
      </c>
      <c r="M704" s="256"/>
      <c r="N704" s="256"/>
      <c r="O704" s="256"/>
      <c r="P704" s="330"/>
      <c r="AE704" s="54"/>
      <c r="AF704" s="54"/>
    </row>
    <row r="705" spans="1:32" ht="30">
      <c r="A705" s="144">
        <v>689</v>
      </c>
      <c r="B705" s="143" t="s">
        <v>89</v>
      </c>
      <c r="C705" s="34">
        <v>957</v>
      </c>
      <c r="D705" s="34" t="s">
        <v>90</v>
      </c>
      <c r="E705" s="34"/>
      <c r="F705" s="144"/>
      <c r="G705" s="134">
        <f t="shared" ref="G705:I706" si="370">G706</f>
        <v>7029019.8199999994</v>
      </c>
      <c r="H705" s="134">
        <f t="shared" si="370"/>
        <v>8029741.9500000002</v>
      </c>
      <c r="I705" s="29">
        <f t="shared" si="370"/>
        <v>8029741.9500000002</v>
      </c>
      <c r="M705" s="256"/>
      <c r="N705" s="256"/>
      <c r="O705" s="256"/>
      <c r="P705" s="330"/>
      <c r="AE705" s="54"/>
      <c r="AF705" s="54"/>
    </row>
    <row r="706" spans="1:32">
      <c r="A706" s="144">
        <v>690</v>
      </c>
      <c r="B706" s="143" t="s">
        <v>320</v>
      </c>
      <c r="C706" s="34">
        <v>957</v>
      </c>
      <c r="D706" s="34" t="s">
        <v>90</v>
      </c>
      <c r="E706" s="34">
        <v>8100000000</v>
      </c>
      <c r="F706" s="144"/>
      <c r="G706" s="134">
        <f t="shared" si="370"/>
        <v>7029019.8199999994</v>
      </c>
      <c r="H706" s="134">
        <f t="shared" si="370"/>
        <v>8029741.9500000002</v>
      </c>
      <c r="I706" s="29">
        <f t="shared" si="370"/>
        <v>8029741.9500000002</v>
      </c>
      <c r="M706" s="256"/>
      <c r="N706" s="256"/>
      <c r="O706" s="256"/>
      <c r="P706" s="330"/>
      <c r="AE706" s="54"/>
      <c r="AF706" s="54"/>
    </row>
    <row r="707" spans="1:32">
      <c r="A707" s="144">
        <v>691</v>
      </c>
      <c r="B707" s="299" t="s">
        <v>279</v>
      </c>
      <c r="C707" s="34">
        <v>957</v>
      </c>
      <c r="D707" s="34" t="s">
        <v>90</v>
      </c>
      <c r="E707" s="34">
        <v>8110000000</v>
      </c>
      <c r="F707" s="144"/>
      <c r="G707" s="134">
        <f t="shared" ref="G707:H707" si="371">G708+G718+G721+G715</f>
        <v>7029019.8199999994</v>
      </c>
      <c r="H707" s="134">
        <f t="shared" si="371"/>
        <v>8029741.9500000002</v>
      </c>
      <c r="I707" s="29">
        <f t="shared" ref="I707" si="372">I708+I718+I721+I715</f>
        <v>8029741.9500000002</v>
      </c>
      <c r="M707" s="256"/>
      <c r="N707" s="256"/>
      <c r="O707" s="256"/>
      <c r="P707" s="330"/>
      <c r="AE707" s="54"/>
      <c r="AF707" s="54"/>
    </row>
    <row r="708" spans="1:32" ht="45">
      <c r="A708" s="144">
        <v>692</v>
      </c>
      <c r="B708" s="298" t="s">
        <v>323</v>
      </c>
      <c r="C708" s="34">
        <v>957</v>
      </c>
      <c r="D708" s="34" t="s">
        <v>90</v>
      </c>
      <c r="E708" s="34">
        <v>8110000210</v>
      </c>
      <c r="F708" s="144"/>
      <c r="G708" s="134">
        <f>G709+G711+G713</f>
        <v>3042571.27</v>
      </c>
      <c r="H708" s="134">
        <f t="shared" ref="H708" si="373">H709+H711+H713</f>
        <v>2916016.87</v>
      </c>
      <c r="I708" s="29">
        <f t="shared" ref="I708" si="374">I709+I711+I713</f>
        <v>2916016.87</v>
      </c>
      <c r="M708" s="256"/>
      <c r="N708" s="256"/>
      <c r="O708" s="256"/>
      <c r="P708" s="330"/>
      <c r="AE708" s="54"/>
      <c r="AF708" s="54"/>
    </row>
    <row r="709" spans="1:32" ht="45">
      <c r="A709" s="144">
        <v>693</v>
      </c>
      <c r="B709" s="143" t="s">
        <v>15</v>
      </c>
      <c r="C709" s="34">
        <v>957</v>
      </c>
      <c r="D709" s="34" t="s">
        <v>90</v>
      </c>
      <c r="E709" s="34">
        <v>8110000210</v>
      </c>
      <c r="F709" s="144">
        <v>100</v>
      </c>
      <c r="G709" s="134">
        <f t="shared" ref="G709:I709" si="375">G710</f>
        <v>2515161.27</v>
      </c>
      <c r="H709" s="134">
        <f t="shared" si="375"/>
        <v>2388606.87</v>
      </c>
      <c r="I709" s="29">
        <f t="shared" si="375"/>
        <v>2388606.87</v>
      </c>
      <c r="M709" s="256"/>
      <c r="N709" s="256"/>
      <c r="O709" s="256"/>
      <c r="P709" s="330"/>
      <c r="AE709" s="54"/>
      <c r="AF709" s="54"/>
    </row>
    <row r="710" spans="1:32">
      <c r="A710" s="144">
        <v>694</v>
      </c>
      <c r="B710" s="143" t="s">
        <v>16</v>
      </c>
      <c r="C710" s="34">
        <v>957</v>
      </c>
      <c r="D710" s="34" t="s">
        <v>90</v>
      </c>
      <c r="E710" s="34">
        <v>8110000210</v>
      </c>
      <c r="F710" s="144">
        <v>120</v>
      </c>
      <c r="G710" s="134">
        <f>2388606.87+126554.4</f>
        <v>2515161.27</v>
      </c>
      <c r="H710" s="134">
        <v>2388606.87</v>
      </c>
      <c r="I710" s="29">
        <v>2388606.87</v>
      </c>
      <c r="M710" s="256"/>
      <c r="N710" s="256"/>
      <c r="O710" s="256"/>
      <c r="P710" s="330"/>
      <c r="AE710" s="54"/>
      <c r="AF710" s="54"/>
    </row>
    <row r="711" spans="1:32">
      <c r="A711" s="144">
        <v>695</v>
      </c>
      <c r="B711" s="143" t="s">
        <v>20</v>
      </c>
      <c r="C711" s="34">
        <v>957</v>
      </c>
      <c r="D711" s="34" t="s">
        <v>90</v>
      </c>
      <c r="E711" s="34">
        <v>8110000210</v>
      </c>
      <c r="F711" s="144">
        <v>200</v>
      </c>
      <c r="G711" s="134">
        <f t="shared" ref="G711:I711" si="376">G712</f>
        <v>526910</v>
      </c>
      <c r="H711" s="134">
        <f t="shared" si="376"/>
        <v>526910</v>
      </c>
      <c r="I711" s="29">
        <f t="shared" si="376"/>
        <v>526910</v>
      </c>
      <c r="M711" s="256"/>
      <c r="N711" s="256"/>
      <c r="O711" s="256"/>
      <c r="P711" s="330"/>
      <c r="AE711" s="54"/>
      <c r="AF711" s="54"/>
    </row>
    <row r="712" spans="1:32">
      <c r="A712" s="144">
        <v>696</v>
      </c>
      <c r="B712" s="143" t="s">
        <v>21</v>
      </c>
      <c r="C712" s="34">
        <v>957</v>
      </c>
      <c r="D712" s="34" t="s">
        <v>90</v>
      </c>
      <c r="E712" s="34">
        <v>8110000210</v>
      </c>
      <c r="F712" s="144">
        <v>240</v>
      </c>
      <c r="G712" s="134">
        <f>479410+47500</f>
        <v>526910</v>
      </c>
      <c r="H712" s="134">
        <v>526910</v>
      </c>
      <c r="I712" s="157">
        <v>526910</v>
      </c>
      <c r="M712" s="256"/>
      <c r="N712" s="256"/>
      <c r="O712" s="256"/>
      <c r="P712" s="330"/>
      <c r="AE712" s="54"/>
      <c r="AF712" s="54"/>
    </row>
    <row r="713" spans="1:32">
      <c r="A713" s="144">
        <v>697</v>
      </c>
      <c r="B713" s="143" t="s">
        <v>32</v>
      </c>
      <c r="C713" s="34">
        <v>957</v>
      </c>
      <c r="D713" s="34" t="s">
        <v>90</v>
      </c>
      <c r="E713" s="34">
        <v>8110000210</v>
      </c>
      <c r="F713" s="144">
        <v>800</v>
      </c>
      <c r="G713" s="134">
        <f t="shared" ref="G713" si="377">G714</f>
        <v>500</v>
      </c>
      <c r="H713" s="134">
        <f t="shared" ref="H713:I713" si="378">H714</f>
        <v>500</v>
      </c>
      <c r="I713" s="29">
        <f t="shared" si="378"/>
        <v>500</v>
      </c>
      <c r="M713" s="256"/>
      <c r="N713" s="256"/>
      <c r="O713" s="256"/>
      <c r="P713" s="330"/>
      <c r="AE713" s="54"/>
      <c r="AF713" s="54"/>
    </row>
    <row r="714" spans="1:32">
      <c r="A714" s="144">
        <v>698</v>
      </c>
      <c r="B714" s="143" t="s">
        <v>80</v>
      </c>
      <c r="C714" s="34">
        <v>957</v>
      </c>
      <c r="D714" s="34" t="s">
        <v>90</v>
      </c>
      <c r="E714" s="34">
        <v>8110000210</v>
      </c>
      <c r="F714" s="144">
        <v>850</v>
      </c>
      <c r="G714" s="134">
        <v>500</v>
      </c>
      <c r="H714" s="134">
        <v>500</v>
      </c>
      <c r="I714" s="29">
        <v>500</v>
      </c>
      <c r="M714" s="256"/>
      <c r="N714" s="256"/>
      <c r="O714" s="256"/>
      <c r="P714" s="330"/>
      <c r="AE714" s="54"/>
      <c r="AF714" s="54"/>
    </row>
    <row r="715" spans="1:32" ht="45">
      <c r="A715" s="144">
        <v>699</v>
      </c>
      <c r="B715" s="298" t="s">
        <v>324</v>
      </c>
      <c r="C715" s="34" t="s">
        <v>322</v>
      </c>
      <c r="D715" s="34" t="s">
        <v>90</v>
      </c>
      <c r="E715" s="34">
        <v>8110000220</v>
      </c>
      <c r="F715" s="144"/>
      <c r="G715" s="134">
        <f t="shared" ref="G715:I715" si="379">G716</f>
        <v>633193.85</v>
      </c>
      <c r="H715" s="134">
        <f t="shared" si="379"/>
        <v>569916.65</v>
      </c>
      <c r="I715" s="29">
        <f t="shared" si="379"/>
        <v>569916.65</v>
      </c>
      <c r="M715" s="256"/>
      <c r="N715" s="256"/>
      <c r="O715" s="256"/>
      <c r="P715" s="330"/>
      <c r="AE715" s="54"/>
      <c r="AF715" s="54"/>
    </row>
    <row r="716" spans="1:32" ht="45">
      <c r="A716" s="144">
        <v>700</v>
      </c>
      <c r="B716" s="143" t="s">
        <v>15</v>
      </c>
      <c r="C716" s="34" t="s">
        <v>322</v>
      </c>
      <c r="D716" s="34" t="s">
        <v>90</v>
      </c>
      <c r="E716" s="34">
        <v>8110000220</v>
      </c>
      <c r="F716" s="144">
        <v>100</v>
      </c>
      <c r="G716" s="134">
        <f t="shared" ref="G716:I716" si="380">G717</f>
        <v>633193.85</v>
      </c>
      <c r="H716" s="134">
        <f t="shared" si="380"/>
        <v>569916.65</v>
      </c>
      <c r="I716" s="29">
        <f t="shared" si="380"/>
        <v>569916.65</v>
      </c>
      <c r="M716" s="256"/>
      <c r="N716" s="256"/>
      <c r="O716" s="256"/>
      <c r="P716" s="330"/>
      <c r="AE716" s="54"/>
      <c r="AF716" s="54"/>
    </row>
    <row r="717" spans="1:32">
      <c r="A717" s="144">
        <v>701</v>
      </c>
      <c r="B717" s="143" t="s">
        <v>16</v>
      </c>
      <c r="C717" s="34" t="s">
        <v>322</v>
      </c>
      <c r="D717" s="34" t="s">
        <v>90</v>
      </c>
      <c r="E717" s="34">
        <v>8110000220</v>
      </c>
      <c r="F717" s="144">
        <v>120</v>
      </c>
      <c r="G717" s="134">
        <f>569916.65+63277.2</f>
        <v>633193.85</v>
      </c>
      <c r="H717" s="134">
        <v>569916.65</v>
      </c>
      <c r="I717" s="157">
        <v>569916.65</v>
      </c>
      <c r="M717" s="256"/>
      <c r="N717" s="256"/>
      <c r="O717" s="256"/>
      <c r="P717" s="330"/>
      <c r="AE717" s="54"/>
      <c r="AF717" s="54"/>
    </row>
    <row r="718" spans="1:32" ht="46.5" customHeight="1">
      <c r="A718" s="144">
        <v>702</v>
      </c>
      <c r="B718" s="299" t="s">
        <v>396</v>
      </c>
      <c r="C718" s="34">
        <v>957</v>
      </c>
      <c r="D718" s="34" t="s">
        <v>90</v>
      </c>
      <c r="E718" s="34">
        <v>8110000230</v>
      </c>
      <c r="F718" s="144"/>
      <c r="G718" s="134">
        <f t="shared" ref="G718:I718" si="381">G719</f>
        <v>2322127</v>
      </c>
      <c r="H718" s="134">
        <f t="shared" si="381"/>
        <v>2258849.7999999998</v>
      </c>
      <c r="I718" s="29">
        <f t="shared" si="381"/>
        <v>2258849.7999999998</v>
      </c>
      <c r="M718" s="256"/>
      <c r="N718" s="256"/>
      <c r="O718" s="256"/>
      <c r="P718" s="330"/>
      <c r="AE718" s="54"/>
      <c r="AF718" s="54"/>
    </row>
    <row r="719" spans="1:32" ht="45">
      <c r="A719" s="144">
        <v>703</v>
      </c>
      <c r="B719" s="143" t="s">
        <v>15</v>
      </c>
      <c r="C719" s="34">
        <v>957</v>
      </c>
      <c r="D719" s="34" t="s">
        <v>90</v>
      </c>
      <c r="E719" s="34">
        <v>8110000230</v>
      </c>
      <c r="F719" s="144">
        <v>100</v>
      </c>
      <c r="G719" s="134">
        <f t="shared" ref="G719:I719" si="382">G720</f>
        <v>2322127</v>
      </c>
      <c r="H719" s="134">
        <f t="shared" si="382"/>
        <v>2258849.7999999998</v>
      </c>
      <c r="I719" s="29">
        <f t="shared" si="382"/>
        <v>2258849.7999999998</v>
      </c>
      <c r="M719" s="256"/>
      <c r="N719" s="256"/>
      <c r="O719" s="256"/>
      <c r="P719" s="330"/>
      <c r="AE719" s="54"/>
      <c r="AF719" s="54"/>
    </row>
    <row r="720" spans="1:32">
      <c r="A720" s="144">
        <v>704</v>
      </c>
      <c r="B720" s="143" t="s">
        <v>16</v>
      </c>
      <c r="C720" s="34">
        <v>957</v>
      </c>
      <c r="D720" s="34" t="s">
        <v>90</v>
      </c>
      <c r="E720" s="34">
        <v>8110000230</v>
      </c>
      <c r="F720" s="144">
        <v>120</v>
      </c>
      <c r="G720" s="134">
        <f>2258849.8+63277.2</f>
        <v>2322127</v>
      </c>
      <c r="H720" s="134">
        <v>2258849.7999999998</v>
      </c>
      <c r="I720" s="157">
        <v>2258849.7999999998</v>
      </c>
      <c r="M720" s="256"/>
      <c r="N720" s="256"/>
      <c r="O720" s="256"/>
      <c r="P720" s="330"/>
      <c r="AE720" s="54"/>
      <c r="AF720" s="54"/>
    </row>
    <row r="721" spans="1:32">
      <c r="A721" s="144">
        <v>705</v>
      </c>
      <c r="B721" s="298" t="s">
        <v>321</v>
      </c>
      <c r="C721" s="34">
        <v>957</v>
      </c>
      <c r="D721" s="34" t="s">
        <v>90</v>
      </c>
      <c r="E721" s="34">
        <v>8110000240</v>
      </c>
      <c r="F721" s="144"/>
      <c r="G721" s="134">
        <f t="shared" ref="G721:I721" si="383">G722</f>
        <v>1031127.7000000001</v>
      </c>
      <c r="H721" s="134">
        <f t="shared" si="383"/>
        <v>2284958.63</v>
      </c>
      <c r="I721" s="29">
        <f t="shared" si="383"/>
        <v>2284958.63</v>
      </c>
      <c r="J721" s="335">
        <v>-1185892.53</v>
      </c>
      <c r="M721" s="256"/>
      <c r="N721" s="256"/>
      <c r="O721" s="256"/>
      <c r="P721" s="330"/>
      <c r="AE721" s="54"/>
      <c r="AF721" s="54"/>
    </row>
    <row r="722" spans="1:32" ht="45">
      <c r="A722" s="144">
        <v>706</v>
      </c>
      <c r="B722" s="143" t="s">
        <v>15</v>
      </c>
      <c r="C722" s="34">
        <v>957</v>
      </c>
      <c r="D722" s="34" t="s">
        <v>90</v>
      </c>
      <c r="E722" s="34" t="s">
        <v>613</v>
      </c>
      <c r="F722" s="144">
        <v>100</v>
      </c>
      <c r="G722" s="134">
        <f t="shared" ref="G722:I722" si="384">G723</f>
        <v>1031127.7000000001</v>
      </c>
      <c r="H722" s="134">
        <f t="shared" si="384"/>
        <v>2284958.63</v>
      </c>
      <c r="I722" s="29">
        <f t="shared" si="384"/>
        <v>2284958.63</v>
      </c>
      <c r="J722" s="335">
        <v>-49215.6</v>
      </c>
      <c r="M722" s="256"/>
      <c r="N722" s="256"/>
      <c r="O722" s="256"/>
      <c r="P722" s="330"/>
      <c r="AE722" s="54"/>
      <c r="AF722" s="54"/>
    </row>
    <row r="723" spans="1:32">
      <c r="A723" s="144">
        <v>707</v>
      </c>
      <c r="B723" s="143" t="s">
        <v>16</v>
      </c>
      <c r="C723" s="34">
        <v>957</v>
      </c>
      <c r="D723" s="34" t="s">
        <v>90</v>
      </c>
      <c r="E723" s="34">
        <v>8110000240</v>
      </c>
      <c r="F723" s="144">
        <v>120</v>
      </c>
      <c r="G723" s="134">
        <f>2284958.63+63277.2-61000-21000-1185892.53-49215.6</f>
        <v>1031127.7000000001</v>
      </c>
      <c r="H723" s="134">
        <v>2284958.63</v>
      </c>
      <c r="I723" s="157">
        <v>2284958.63</v>
      </c>
      <c r="J723" s="335">
        <v>-82000</v>
      </c>
      <c r="M723" s="256"/>
      <c r="N723" s="256"/>
      <c r="O723" s="256"/>
      <c r="P723" s="330"/>
      <c r="AE723" s="54"/>
      <c r="AF723" s="54"/>
    </row>
    <row r="724" spans="1:32">
      <c r="A724" s="144">
        <v>708</v>
      </c>
      <c r="B724" s="298" t="s">
        <v>132</v>
      </c>
      <c r="C724" s="144"/>
      <c r="D724" s="144"/>
      <c r="E724" s="34"/>
      <c r="F724" s="144"/>
      <c r="G724" s="134">
        <v>0</v>
      </c>
      <c r="H724" s="134">
        <v>22582387</v>
      </c>
      <c r="I724" s="157">
        <v>43748000</v>
      </c>
      <c r="M724" s="256"/>
      <c r="N724" s="256"/>
      <c r="O724" s="256"/>
      <c r="P724" s="330"/>
      <c r="AE724" s="54"/>
      <c r="AF724" s="54"/>
    </row>
    <row r="725" spans="1:32" ht="24" customHeight="1">
      <c r="A725" s="144">
        <v>709</v>
      </c>
      <c r="B725" s="36" t="s">
        <v>82</v>
      </c>
      <c r="C725" s="37"/>
      <c r="D725" s="37"/>
      <c r="E725" s="222"/>
      <c r="F725" s="37"/>
      <c r="G725" s="38">
        <f>G17+G126+G366+G381+G398+G415+G435+G590+G685+G703+G724</f>
        <v>1482842990.1400001</v>
      </c>
      <c r="H725" s="38">
        <f>H17+H126+H366+H381+H398+H415+H435+H590+H685+H703+H724</f>
        <v>1345243875.6300004</v>
      </c>
      <c r="I725" s="38">
        <f>I17+I126+I366+I381+I398+I415+I435+I590+I685+I703+I724</f>
        <v>1342802605.76</v>
      </c>
      <c r="M725" s="256"/>
      <c r="N725" s="256"/>
      <c r="O725" s="256"/>
      <c r="P725" s="330"/>
      <c r="AE725" s="54"/>
      <c r="AF725" s="54"/>
    </row>
    <row r="726" spans="1:32">
      <c r="C726" s="39"/>
      <c r="D726" s="39"/>
      <c r="E726" s="223"/>
      <c r="G726" s="161">
        <v>1459016341.7</v>
      </c>
      <c r="H726" s="142">
        <v>1344990765.6300001</v>
      </c>
      <c r="I726" s="142">
        <v>1342549495.76</v>
      </c>
      <c r="J726" s="159">
        <f>SUM(J15:J725)</f>
        <v>23826648.440000001</v>
      </c>
      <c r="K726" s="159">
        <f t="shared" ref="K726:L726" si="385">SUM(K15:K725)</f>
        <v>253110</v>
      </c>
      <c r="L726" s="159">
        <f t="shared" si="385"/>
        <v>253110</v>
      </c>
      <c r="M726" s="330"/>
      <c r="N726" s="330"/>
      <c r="O726" s="330"/>
      <c r="P726" s="330"/>
    </row>
    <row r="727" spans="1:32">
      <c r="G727" s="161">
        <f>G725-G726</f>
        <v>23826648.440000057</v>
      </c>
      <c r="H727" s="161">
        <f>H725-H726</f>
        <v>253110.00000023842</v>
      </c>
      <c r="I727" s="161">
        <f>I725-I726</f>
        <v>253110</v>
      </c>
      <c r="J727" s="245">
        <f>J120+J204+J285+J380+J448+J451+J454+J468+J477+J489+J501+J507+J524+J530+J550</f>
        <v>15580052.899999999</v>
      </c>
      <c r="M727" s="330"/>
      <c r="N727" s="330"/>
      <c r="O727" s="330"/>
      <c r="P727" s="330"/>
    </row>
    <row r="728" spans="1:32">
      <c r="H728" s="161"/>
      <c r="I728" s="161"/>
      <c r="J728" s="337">
        <f>J723+J711+J710+J634+J606+J495+J474+J431+J424+J421+J405+J388+J358+J353+J323+J276+J274+J237+J188+J183+J174+J143+J139+J138+J137+J133+J115+J114+J113+J79+J26+J267+J180+J141+J510+J177+J145+J721+J722</f>
        <v>6721005.54</v>
      </c>
      <c r="M728" s="330"/>
      <c r="N728" s="330"/>
      <c r="O728" s="330"/>
      <c r="P728" s="330"/>
    </row>
    <row r="729" spans="1:32">
      <c r="G729" s="161"/>
      <c r="H729" s="161"/>
      <c r="I729" s="161"/>
    </row>
    <row r="730" spans="1:32">
      <c r="G730" s="161"/>
      <c r="H730" s="161"/>
      <c r="I730" s="159"/>
    </row>
    <row r="731" spans="1:32">
      <c r="G731" s="161"/>
      <c r="H731" s="161"/>
      <c r="I731" s="161"/>
    </row>
    <row r="732" spans="1:32">
      <c r="G732" s="161"/>
    </row>
    <row r="733" spans="1:32">
      <c r="G733" s="161"/>
    </row>
  </sheetData>
  <mergeCells count="2">
    <mergeCell ref="A11:I11"/>
    <mergeCell ref="A12:I12"/>
  </mergeCells>
  <printOptions horizontalCentered="1"/>
  <pageMargins left="0" right="3.937007874015748E-2" top="0.23622047244094491" bottom="0.19685039370078741" header="0.31496062992125984" footer="0.31496062992125984"/>
  <pageSetup paperSize="9"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73"/>
  <sheetViews>
    <sheetView topLeftCell="A228" zoomScaleNormal="100" zoomScaleSheetLayoutView="95" workbookViewId="0">
      <selection activeCell="G278" sqref="G278"/>
    </sheetView>
  </sheetViews>
  <sheetFormatPr defaultRowHeight="15"/>
  <cols>
    <col min="1" max="1" width="5.85546875" style="147" customWidth="1"/>
    <col min="2" max="2" width="72.42578125" style="15" customWidth="1"/>
    <col min="3" max="3" width="15.140625" style="16" customWidth="1"/>
    <col min="4" max="4" width="9.140625" style="16" customWidth="1"/>
    <col min="5" max="5" width="12.28515625" style="16" customWidth="1"/>
    <col min="6" max="6" width="20.28515625" style="16" customWidth="1"/>
    <col min="7" max="7" width="20.85546875" style="16" customWidth="1"/>
    <col min="8" max="8" width="21.5703125" style="13" customWidth="1"/>
    <col min="9" max="16384" width="9.140625" style="13"/>
  </cols>
  <sheetData>
    <row r="1" spans="1:9">
      <c r="G1" s="17" t="s">
        <v>151</v>
      </c>
      <c r="H1" s="16"/>
    </row>
    <row r="2" spans="1:9">
      <c r="G2" s="19" t="s">
        <v>152</v>
      </c>
      <c r="H2" s="16"/>
    </row>
    <row r="3" spans="1:9">
      <c r="G3" s="19" t="s">
        <v>246</v>
      </c>
      <c r="H3" s="16"/>
    </row>
    <row r="4" spans="1:9">
      <c r="G4" s="19" t="s">
        <v>424</v>
      </c>
      <c r="H4" s="16"/>
    </row>
    <row r="5" spans="1:9">
      <c r="G5" s="19"/>
      <c r="H5" s="16"/>
    </row>
    <row r="6" spans="1:9">
      <c r="G6" s="17" t="s">
        <v>151</v>
      </c>
      <c r="H6" s="16"/>
    </row>
    <row r="7" spans="1:9">
      <c r="G7" s="19" t="s">
        <v>152</v>
      </c>
      <c r="H7" s="18"/>
    </row>
    <row r="8" spans="1:9">
      <c r="G8" s="19" t="s">
        <v>246</v>
      </c>
      <c r="H8" s="18"/>
    </row>
    <row r="9" spans="1:9">
      <c r="E9" s="19"/>
      <c r="G9" s="19" t="s">
        <v>608</v>
      </c>
      <c r="H9" s="18"/>
    </row>
    <row r="10" spans="1:9">
      <c r="E10" s="19"/>
      <c r="G10" s="19"/>
      <c r="H10" s="18"/>
    </row>
    <row r="11" spans="1:9" ht="42.75" customHeight="1">
      <c r="A11" s="388" t="s">
        <v>527</v>
      </c>
      <c r="B11" s="388"/>
      <c r="C11" s="388"/>
      <c r="D11" s="388"/>
      <c r="E11" s="388"/>
      <c r="F11" s="388"/>
      <c r="G11" s="388"/>
      <c r="H11" s="388"/>
    </row>
    <row r="12" spans="1:9">
      <c r="A12" s="22"/>
      <c r="B12" s="23"/>
      <c r="C12" s="24"/>
      <c r="D12" s="24"/>
      <c r="E12" s="24"/>
      <c r="H12" s="232" t="s">
        <v>523</v>
      </c>
      <c r="I12" s="229"/>
    </row>
    <row r="13" spans="1:9" ht="45">
      <c r="A13" s="25" t="s">
        <v>0</v>
      </c>
      <c r="B13" s="25" t="s">
        <v>1</v>
      </c>
      <c r="C13" s="26" t="s">
        <v>4</v>
      </c>
      <c r="D13" s="26" t="s">
        <v>5</v>
      </c>
      <c r="E13" s="26" t="s">
        <v>83</v>
      </c>
      <c r="F13" s="41" t="s">
        <v>454</v>
      </c>
      <c r="G13" s="41" t="s">
        <v>475</v>
      </c>
      <c r="H13" s="41" t="s">
        <v>519</v>
      </c>
      <c r="I13" s="230"/>
    </row>
    <row r="14" spans="1:9">
      <c r="A14" s="28"/>
      <c r="B14" s="26" t="s">
        <v>6</v>
      </c>
      <c r="C14" s="26" t="s">
        <v>7</v>
      </c>
      <c r="D14" s="26" t="s">
        <v>8</v>
      </c>
      <c r="E14" s="26" t="s">
        <v>9</v>
      </c>
      <c r="F14" s="228">
        <v>5</v>
      </c>
      <c r="G14" s="228">
        <v>6</v>
      </c>
      <c r="H14" s="231">
        <v>7</v>
      </c>
    </row>
    <row r="15" spans="1:9" ht="42.75">
      <c r="A15" s="146">
        <v>1</v>
      </c>
      <c r="B15" s="72" t="s">
        <v>247</v>
      </c>
      <c r="C15" s="50" t="s">
        <v>359</v>
      </c>
      <c r="D15" s="30"/>
      <c r="E15" s="31"/>
      <c r="F15" s="52">
        <f>F16+F19</f>
        <v>169800</v>
      </c>
      <c r="G15" s="52">
        <f>G16+G19</f>
        <v>120000</v>
      </c>
      <c r="H15" s="52">
        <f>H16+H19</f>
        <v>120000</v>
      </c>
    </row>
    <row r="16" spans="1:9" ht="30">
      <c r="A16" s="146">
        <v>2</v>
      </c>
      <c r="B16" s="73" t="s">
        <v>314</v>
      </c>
      <c r="C16" s="47" t="s">
        <v>353</v>
      </c>
      <c r="D16" s="59"/>
      <c r="E16" s="47"/>
      <c r="F16" s="42">
        <f>F18+F17</f>
        <v>79800</v>
      </c>
      <c r="G16" s="42">
        <f t="shared" ref="G16:H16" si="0">G18</f>
        <v>30000</v>
      </c>
      <c r="H16" s="42">
        <f t="shared" si="0"/>
        <v>30000</v>
      </c>
    </row>
    <row r="17" spans="1:8" ht="86.25" customHeight="1">
      <c r="A17" s="246">
        <v>3</v>
      </c>
      <c r="B17" s="249" t="str">
        <f>'приложение 4'!B91</f>
        <v>Поддержка физкультурно-спортивных клубов по месту жительства в рамках подпрограмма "Развитие массовой физической культуры и спорта на территории Мотыгинского района" муниципальной программы "Развитие физической культуры и спорта на территории Мотыгинского района"</v>
      </c>
      <c r="C17" s="250" t="s">
        <v>546</v>
      </c>
      <c r="D17" s="246">
        <v>540</v>
      </c>
      <c r="E17" s="250" t="s">
        <v>545</v>
      </c>
      <c r="F17" s="29">
        <f>'приложение 4'!G91</f>
        <v>49800</v>
      </c>
      <c r="G17" s="29">
        <f>'приложение 4'!H91</f>
        <v>0</v>
      </c>
      <c r="H17" s="29">
        <f>'приложение 4'!I91</f>
        <v>0</v>
      </c>
    </row>
    <row r="18" spans="1:8" ht="75">
      <c r="A18" s="146">
        <v>4</v>
      </c>
      <c r="B18" s="62" t="s">
        <v>357</v>
      </c>
      <c r="C18" s="183" t="str">
        <f>'приложение 4'!E678</f>
        <v>0110080070</v>
      </c>
      <c r="D18" s="70">
        <v>610</v>
      </c>
      <c r="E18" s="71" t="s">
        <v>252</v>
      </c>
      <c r="F18" s="51">
        <f>'приложение 4'!G680</f>
        <v>30000</v>
      </c>
      <c r="G18" s="51">
        <f>'приложение 4'!H680</f>
        <v>30000</v>
      </c>
      <c r="H18" s="51">
        <f>'приложение 4'!I680</f>
        <v>30000</v>
      </c>
    </row>
    <row r="19" spans="1:8" ht="47.25">
      <c r="A19" s="146">
        <v>5</v>
      </c>
      <c r="B19" s="74" t="s">
        <v>315</v>
      </c>
      <c r="C19" s="47" t="s">
        <v>355</v>
      </c>
      <c r="D19" s="59"/>
      <c r="E19" s="47"/>
      <c r="F19" s="42">
        <f t="shared" ref="F19:H19" si="1">F20</f>
        <v>90000</v>
      </c>
      <c r="G19" s="42">
        <f t="shared" si="1"/>
        <v>90000</v>
      </c>
      <c r="H19" s="42">
        <f t="shared" si="1"/>
        <v>90000</v>
      </c>
    </row>
    <row r="20" spans="1:8" ht="94.5">
      <c r="A20" s="146">
        <v>6</v>
      </c>
      <c r="B20" s="67" t="s">
        <v>358</v>
      </c>
      <c r="C20" s="92" t="s">
        <v>356</v>
      </c>
      <c r="D20" s="30">
        <v>610</v>
      </c>
      <c r="E20" s="31" t="s">
        <v>252</v>
      </c>
      <c r="F20" s="29">
        <f>'приложение 4'!G684</f>
        <v>90000</v>
      </c>
      <c r="G20" s="29">
        <f>'приложение 4'!H684</f>
        <v>90000</v>
      </c>
      <c r="H20" s="29">
        <f>'приложение 4'!I684</f>
        <v>90000</v>
      </c>
    </row>
    <row r="21" spans="1:8" ht="28.5">
      <c r="A21" s="146">
        <v>7</v>
      </c>
      <c r="B21" s="79" t="s">
        <v>218</v>
      </c>
      <c r="C21" s="49" t="str">
        <f>'приложение 4'!E384</f>
        <v>0200000000</v>
      </c>
      <c r="D21" s="49"/>
      <c r="E21" s="50"/>
      <c r="F21" s="52">
        <f>F22+F25+F31+F34+F47</f>
        <v>139988658.91</v>
      </c>
      <c r="G21" s="52">
        <f>G22+G25+G31+G34+G47</f>
        <v>126858506.41</v>
      </c>
      <c r="H21" s="52">
        <f>H22+H25+H31+H34+H47</f>
        <v>103150696.09999999</v>
      </c>
    </row>
    <row r="22" spans="1:8">
      <c r="A22" s="146">
        <v>8</v>
      </c>
      <c r="B22" s="44" t="s">
        <v>69</v>
      </c>
      <c r="C22" s="59" t="str">
        <f>'приложение 4'!E624</f>
        <v>0210000000</v>
      </c>
      <c r="D22" s="49"/>
      <c r="E22" s="50"/>
      <c r="F22" s="42">
        <f t="shared" ref="F22:G22" si="2">F23+F24</f>
        <v>32042543.719999999</v>
      </c>
      <c r="G22" s="42">
        <f t="shared" si="2"/>
        <v>30117191.719999999</v>
      </c>
      <c r="H22" s="42">
        <f t="shared" ref="H22" si="3">H23+H24</f>
        <v>30115691.719999999</v>
      </c>
    </row>
    <row r="23" spans="1:8" ht="45">
      <c r="A23" s="146">
        <v>9</v>
      </c>
      <c r="B23" s="65" t="s">
        <v>348</v>
      </c>
      <c r="C23" s="30" t="str">
        <f>'приложение 4'!E625</f>
        <v>0210000610</v>
      </c>
      <c r="D23" s="30">
        <v>610</v>
      </c>
      <c r="E23" s="31" t="s">
        <v>122</v>
      </c>
      <c r="F23" s="29">
        <f>'приложение 4'!G627</f>
        <v>26753962.719999999</v>
      </c>
      <c r="G23" s="29">
        <f>'приложение 4'!H627</f>
        <v>25163980.719999999</v>
      </c>
      <c r="H23" s="29">
        <f>'приложение 4'!I627</f>
        <v>25162480.719999999</v>
      </c>
    </row>
    <row r="24" spans="1:8" ht="45">
      <c r="A24" s="146">
        <v>10</v>
      </c>
      <c r="B24" s="65" t="s">
        <v>349</v>
      </c>
      <c r="C24" s="30" t="str">
        <f>'приложение 4'!E628</f>
        <v>0210000630</v>
      </c>
      <c r="D24" s="30">
        <v>610</v>
      </c>
      <c r="E24" s="31" t="s">
        <v>122</v>
      </c>
      <c r="F24" s="29">
        <f>'приложение 4'!G630</f>
        <v>5288581</v>
      </c>
      <c r="G24" s="29">
        <f>'приложение 4'!H630</f>
        <v>4953211</v>
      </c>
      <c r="H24" s="29">
        <f>'приложение 4'!I630</f>
        <v>4953211</v>
      </c>
    </row>
    <row r="25" spans="1:8">
      <c r="A25" s="146">
        <v>11</v>
      </c>
      <c r="B25" s="93" t="s">
        <v>61</v>
      </c>
      <c r="C25" s="47" t="s">
        <v>190</v>
      </c>
      <c r="D25" s="49"/>
      <c r="E25" s="50"/>
      <c r="F25" s="42">
        <f>F26+F27+F29+F30+F28</f>
        <v>3236229.2199999997</v>
      </c>
      <c r="G25" s="42">
        <f t="shared" ref="G25:H25" si="4">G26+G27+G29+G30+G28</f>
        <v>3036332.7199999997</v>
      </c>
      <c r="H25" s="42">
        <f t="shared" si="4"/>
        <v>3036332.7199999997</v>
      </c>
    </row>
    <row r="26" spans="1:8">
      <c r="A26" s="355">
        <v>12</v>
      </c>
      <c r="B26" s="368" t="s">
        <v>62</v>
      </c>
      <c r="C26" s="355" t="str">
        <f>'приложение 4'!E387</f>
        <v>0220000610</v>
      </c>
      <c r="D26" s="30">
        <v>110</v>
      </c>
      <c r="E26" s="31" t="s">
        <v>94</v>
      </c>
      <c r="F26" s="29">
        <f>'приложение 4'!G388</f>
        <v>2126274.2199999997</v>
      </c>
      <c r="G26" s="29">
        <f>'приложение 4'!H388</f>
        <v>1985177.72</v>
      </c>
      <c r="H26" s="29">
        <f>'приложение 4'!I388</f>
        <v>1985177.72</v>
      </c>
    </row>
    <row r="27" spans="1:8">
      <c r="A27" s="355"/>
      <c r="B27" s="368"/>
      <c r="C27" s="355"/>
      <c r="D27" s="30">
        <v>240</v>
      </c>
      <c r="E27" s="31" t="s">
        <v>94</v>
      </c>
      <c r="F27" s="29">
        <f>'приложение 4'!G390</f>
        <v>688055</v>
      </c>
      <c r="G27" s="29">
        <f>'приложение 4'!H390</f>
        <v>688055</v>
      </c>
      <c r="H27" s="29">
        <f>'приложение 4'!I390</f>
        <v>688055</v>
      </c>
    </row>
    <row r="28" spans="1:8">
      <c r="A28" s="355"/>
      <c r="B28" s="368"/>
      <c r="C28" s="355"/>
      <c r="D28" s="30">
        <v>850</v>
      </c>
      <c r="E28" s="31" t="s">
        <v>94</v>
      </c>
      <c r="F28" s="29">
        <f>'приложение 4'!G392</f>
        <v>500</v>
      </c>
      <c r="G28" s="29">
        <f>'приложение 4'!H392</f>
        <v>500</v>
      </c>
      <c r="H28" s="29">
        <f>'приложение 4'!I392</f>
        <v>500</v>
      </c>
    </row>
    <row r="29" spans="1:8">
      <c r="A29" s="355">
        <v>13</v>
      </c>
      <c r="B29" s="387" t="s">
        <v>64</v>
      </c>
      <c r="C29" s="355" t="str">
        <f>'приложение 4'!E393</f>
        <v>0220075190</v>
      </c>
      <c r="D29" s="30">
        <v>110</v>
      </c>
      <c r="E29" s="31" t="s">
        <v>94</v>
      </c>
      <c r="F29" s="29">
        <f>'приложение 4'!G395</f>
        <v>366554.6</v>
      </c>
      <c r="G29" s="29">
        <f>'приложение 4'!H395</f>
        <v>307754.59999999998</v>
      </c>
      <c r="H29" s="29">
        <f>'приложение 4'!I395</f>
        <v>307754.59999999998</v>
      </c>
    </row>
    <row r="30" spans="1:8">
      <c r="A30" s="355"/>
      <c r="B30" s="387"/>
      <c r="C30" s="355"/>
      <c r="D30" s="30">
        <v>240</v>
      </c>
      <c r="E30" s="31" t="s">
        <v>94</v>
      </c>
      <c r="F30" s="29">
        <f>'приложение 4'!G397</f>
        <v>54845.4</v>
      </c>
      <c r="G30" s="29">
        <f>'приложение 4'!H397</f>
        <v>54845.4</v>
      </c>
      <c r="H30" s="29">
        <f>'приложение 4'!I397</f>
        <v>54845.4</v>
      </c>
    </row>
    <row r="31" spans="1:8">
      <c r="A31" s="146">
        <v>14</v>
      </c>
      <c r="B31" s="75" t="s">
        <v>70</v>
      </c>
      <c r="C31" s="47" t="s">
        <v>215</v>
      </c>
      <c r="D31" s="49"/>
      <c r="E31" s="50"/>
      <c r="F31" s="42">
        <f>F32+F33</f>
        <v>52432852.519999996</v>
      </c>
      <c r="G31" s="42">
        <f t="shared" ref="G31:H31" si="5">G32+G33</f>
        <v>48906647.519999996</v>
      </c>
      <c r="H31" s="42">
        <f t="shared" si="5"/>
        <v>25201537.210000001</v>
      </c>
    </row>
    <row r="32" spans="1:8" ht="45">
      <c r="A32" s="146">
        <v>15</v>
      </c>
      <c r="B32" s="65" t="s">
        <v>350</v>
      </c>
      <c r="C32" s="30" t="str">
        <f>'приложение 4'!E632</f>
        <v>0230000650</v>
      </c>
      <c r="D32" s="30">
        <v>610</v>
      </c>
      <c r="E32" s="31" t="s">
        <v>122</v>
      </c>
      <c r="F32" s="29">
        <f>'приложение 4'!G634</f>
        <v>28632742.52</v>
      </c>
      <c r="G32" s="29">
        <f>'приложение 4'!H634</f>
        <v>25201537.52</v>
      </c>
      <c r="H32" s="29">
        <f>'приложение 4'!I634</f>
        <v>25201537.210000001</v>
      </c>
    </row>
    <row r="33" spans="1:8" ht="45">
      <c r="A33" s="146">
        <v>16</v>
      </c>
      <c r="B33" s="65" t="s">
        <v>351</v>
      </c>
      <c r="C33" s="30" t="str">
        <f>'приложение 4'!E635</f>
        <v>0230000660</v>
      </c>
      <c r="D33" s="30">
        <v>610</v>
      </c>
      <c r="E33" s="31" t="s">
        <v>122</v>
      </c>
      <c r="F33" s="29">
        <f>'приложение 4'!G637</f>
        <v>23800110</v>
      </c>
      <c r="G33" s="29">
        <f>'приложение 4'!H637</f>
        <v>23705110</v>
      </c>
      <c r="H33" s="29">
        <f>'приложение 4'!I637</f>
        <v>0</v>
      </c>
    </row>
    <row r="34" spans="1:8" ht="30">
      <c r="A34" s="146">
        <v>17</v>
      </c>
      <c r="B34" s="93" t="s">
        <v>66</v>
      </c>
      <c r="C34" s="47" t="s">
        <v>208</v>
      </c>
      <c r="D34" s="49"/>
      <c r="E34" s="50"/>
      <c r="F34" s="42">
        <f>F35+F39+F40+F41+F43+F44+F42+F36+F45+F46+F37+F38</f>
        <v>52237033.450000003</v>
      </c>
      <c r="G34" s="42">
        <f t="shared" ref="G34:H34" si="6">G35+G39+G40+G41+G43+G44+G42+G36+G45+G46+G37+G38</f>
        <v>44798334.450000003</v>
      </c>
      <c r="H34" s="42">
        <f t="shared" si="6"/>
        <v>44797134.450000003</v>
      </c>
    </row>
    <row r="35" spans="1:8" ht="60">
      <c r="A35" s="146">
        <v>18</v>
      </c>
      <c r="B35" s="68" t="s">
        <v>344</v>
      </c>
      <c r="C35" s="30" t="str">
        <f>'приложение 4'!E595</f>
        <v>0240000610</v>
      </c>
      <c r="D35" s="30">
        <v>610</v>
      </c>
      <c r="E35" s="31" t="s">
        <v>167</v>
      </c>
      <c r="F35" s="29">
        <f>'приложение 4'!G597</f>
        <v>42251065.210000001</v>
      </c>
      <c r="G35" s="29">
        <f>'приложение 4'!H597</f>
        <v>39840204.210000001</v>
      </c>
      <c r="H35" s="29">
        <f>'приложение 4'!I597</f>
        <v>39840204.210000001</v>
      </c>
    </row>
    <row r="36" spans="1:8" ht="48.75" customHeight="1">
      <c r="A36" s="184">
        <v>19</v>
      </c>
      <c r="B36" s="187" t="s">
        <v>468</v>
      </c>
      <c r="C36" s="182" t="str">
        <f>'приложение 4'!E600</f>
        <v>024А155191</v>
      </c>
      <c r="D36" s="184">
        <v>610</v>
      </c>
      <c r="E36" s="182" t="s">
        <v>167</v>
      </c>
      <c r="F36" s="29">
        <f>'приложение 4'!G600</f>
        <v>3720910</v>
      </c>
      <c r="G36" s="29">
        <f>'приложение 4'!H600</f>
        <v>0</v>
      </c>
      <c r="H36" s="29">
        <f>'приложение 4'!I600</f>
        <v>0</v>
      </c>
    </row>
    <row r="37" spans="1:8" ht="62.25" customHeight="1">
      <c r="A37" s="246">
        <v>20</v>
      </c>
      <c r="B37" s="247" t="s">
        <v>554</v>
      </c>
      <c r="C37" s="250" t="s">
        <v>550</v>
      </c>
      <c r="D37" s="246">
        <v>610</v>
      </c>
      <c r="E37" s="250" t="s">
        <v>122</v>
      </c>
      <c r="F37" s="29">
        <f>'приложение 4'!G654</f>
        <v>50000</v>
      </c>
      <c r="G37" s="29">
        <f>'приложение 4'!H654</f>
        <v>0</v>
      </c>
      <c r="H37" s="29">
        <f>'приложение 4'!I654</f>
        <v>0</v>
      </c>
    </row>
    <row r="38" spans="1:8" ht="63.75" customHeight="1">
      <c r="A38" s="246">
        <v>21</v>
      </c>
      <c r="B38" s="247" t="s">
        <v>553</v>
      </c>
      <c r="C38" s="250" t="s">
        <v>552</v>
      </c>
      <c r="D38" s="246">
        <v>610</v>
      </c>
      <c r="E38" s="250" t="s">
        <v>122</v>
      </c>
      <c r="F38" s="29">
        <f>'приложение 4'!G657</f>
        <v>100000</v>
      </c>
      <c r="G38" s="29">
        <f>'приложение 4'!H657</f>
        <v>0</v>
      </c>
      <c r="H38" s="29">
        <f>'приложение 4'!I657</f>
        <v>0</v>
      </c>
    </row>
    <row r="39" spans="1:8" ht="23.25" customHeight="1">
      <c r="A39" s="355">
        <v>22</v>
      </c>
      <c r="B39" s="368" t="s">
        <v>361</v>
      </c>
      <c r="C39" s="355" t="str">
        <f>'приложение 4'!E663</f>
        <v>0240000610</v>
      </c>
      <c r="D39" s="30">
        <v>110</v>
      </c>
      <c r="E39" s="31" t="s">
        <v>123</v>
      </c>
      <c r="F39" s="29">
        <f>'приложение 4'!G665</f>
        <v>4347960.24</v>
      </c>
      <c r="G39" s="29">
        <f>'приложение 4'!H665</f>
        <v>4037902.24</v>
      </c>
      <c r="H39" s="29">
        <f>'приложение 4'!I665</f>
        <v>4037902.24</v>
      </c>
    </row>
    <row r="40" spans="1:8" ht="20.25" customHeight="1">
      <c r="A40" s="355"/>
      <c r="B40" s="368"/>
      <c r="C40" s="355"/>
      <c r="D40" s="30">
        <v>240</v>
      </c>
      <c r="E40" s="31" t="s">
        <v>123</v>
      </c>
      <c r="F40" s="29">
        <f>'приложение 4'!G667</f>
        <v>421928</v>
      </c>
      <c r="G40" s="29">
        <f>'приложение 4'!H667</f>
        <v>421928</v>
      </c>
      <c r="H40" s="29">
        <f>'приложение 4'!I667</f>
        <v>421928</v>
      </c>
    </row>
    <row r="41" spans="1:8" ht="31.5" customHeight="1">
      <c r="A41" s="355"/>
      <c r="B41" s="368"/>
      <c r="C41" s="355"/>
      <c r="D41" s="30">
        <v>850</v>
      </c>
      <c r="E41" s="31" t="s">
        <v>123</v>
      </c>
      <c r="F41" s="29">
        <f>'приложение 4'!G669</f>
        <v>500</v>
      </c>
      <c r="G41" s="29">
        <f>'приложение 4'!H669</f>
        <v>500</v>
      </c>
      <c r="H41" s="29">
        <f>'приложение 4'!I669</f>
        <v>500</v>
      </c>
    </row>
    <row r="42" spans="1:8" ht="48" customHeight="1">
      <c r="A42" s="179">
        <v>23</v>
      </c>
      <c r="B42" s="180" t="s">
        <v>464</v>
      </c>
      <c r="C42" s="181" t="str">
        <f>'приложение 4'!E642</f>
        <v>02400L5190</v>
      </c>
      <c r="D42" s="179">
        <v>610</v>
      </c>
      <c r="E42" s="181" t="s">
        <v>122</v>
      </c>
      <c r="F42" s="29">
        <f>'приложение 4'!G642</f>
        <v>147000</v>
      </c>
      <c r="G42" s="29">
        <f>'приложение 4'!H642</f>
        <v>152000</v>
      </c>
      <c r="H42" s="29">
        <f>'приложение 4'!I642</f>
        <v>150800</v>
      </c>
    </row>
    <row r="43" spans="1:8" ht="34.5" customHeight="1">
      <c r="A43" s="355">
        <v>24</v>
      </c>
      <c r="B43" s="398" t="s">
        <v>394</v>
      </c>
      <c r="C43" s="31" t="s">
        <v>292</v>
      </c>
      <c r="D43" s="30">
        <v>610</v>
      </c>
      <c r="E43" s="31" t="s">
        <v>122</v>
      </c>
      <c r="F43" s="29">
        <f>'приложение 4'!G641</f>
        <v>100000</v>
      </c>
      <c r="G43" s="29">
        <f>'приложение 4'!H641</f>
        <v>100000</v>
      </c>
      <c r="H43" s="29">
        <f>'приложение 4'!I641</f>
        <v>100000</v>
      </c>
    </row>
    <row r="44" spans="1:8" ht="31.5" customHeight="1">
      <c r="A44" s="355"/>
      <c r="B44" s="398"/>
      <c r="C44" s="31" t="str">
        <f>'приложение 4'!E650</f>
        <v>02400S4880</v>
      </c>
      <c r="D44" s="30">
        <v>610</v>
      </c>
      <c r="E44" s="31" t="s">
        <v>122</v>
      </c>
      <c r="F44" s="29">
        <f>'приложение 4'!G650</f>
        <v>245800</v>
      </c>
      <c r="G44" s="29">
        <f>'приложение 4'!H650</f>
        <v>245800</v>
      </c>
      <c r="H44" s="29">
        <f>'приложение 4'!I650</f>
        <v>245800</v>
      </c>
    </row>
    <row r="45" spans="1:8" ht="63" customHeight="1">
      <c r="A45" s="205">
        <v>25</v>
      </c>
      <c r="B45" s="209" t="s">
        <v>505</v>
      </c>
      <c r="C45" s="210" t="str">
        <f>'приложение 4'!E648</f>
        <v>02400S4880</v>
      </c>
      <c r="D45" s="205">
        <v>610</v>
      </c>
      <c r="E45" s="210" t="s">
        <v>122</v>
      </c>
      <c r="F45" s="29">
        <f>'приложение 4'!G647</f>
        <v>696970</v>
      </c>
      <c r="G45" s="29">
        <f>'приложение 4'!H647</f>
        <v>0</v>
      </c>
      <c r="H45" s="29">
        <f>'приложение 4'!I647</f>
        <v>0</v>
      </c>
    </row>
    <row r="46" spans="1:8" ht="63" customHeight="1">
      <c r="A46" s="225">
        <v>26</v>
      </c>
      <c r="B46" s="226" t="str">
        <f>'приложение 4'!B651</f>
        <v>Реализация образовательного наставнического проекта в области культуры и искусства "Историческое погружение "От Рыбенского острога до …"</v>
      </c>
      <c r="C46" s="227" t="str">
        <f>'приложение 4'!E653</f>
        <v>0240080060</v>
      </c>
      <c r="D46" s="225">
        <v>610</v>
      </c>
      <c r="E46" s="227" t="s">
        <v>122</v>
      </c>
      <c r="F46" s="29">
        <f>'приложение 4'!G653</f>
        <v>154900</v>
      </c>
      <c r="G46" s="29">
        <f>'приложение 4'!H653</f>
        <v>0</v>
      </c>
      <c r="H46" s="29">
        <f>'приложение 4'!I653</f>
        <v>0</v>
      </c>
    </row>
    <row r="47" spans="1:8" ht="15.75">
      <c r="A47" s="146">
        <v>27</v>
      </c>
      <c r="B47" s="48" t="s">
        <v>239</v>
      </c>
      <c r="C47" s="47" t="s">
        <v>240</v>
      </c>
      <c r="D47" s="49"/>
      <c r="E47" s="50"/>
      <c r="F47" s="42">
        <f>F48</f>
        <v>40000</v>
      </c>
      <c r="G47" s="42">
        <f t="shared" ref="G47:H47" si="7">G48</f>
        <v>0</v>
      </c>
      <c r="H47" s="42">
        <f t="shared" si="7"/>
        <v>0</v>
      </c>
    </row>
    <row r="48" spans="1:8" ht="63">
      <c r="A48" s="173">
        <v>28</v>
      </c>
      <c r="B48" s="176" t="s">
        <v>462</v>
      </c>
      <c r="C48" s="175" t="str">
        <f>'приложение 4'!E673</f>
        <v>0250094800</v>
      </c>
      <c r="D48" s="173">
        <v>610</v>
      </c>
      <c r="E48" s="174" t="s">
        <v>123</v>
      </c>
      <c r="F48" s="51">
        <f>'приложение 4'!G673</f>
        <v>40000</v>
      </c>
      <c r="G48" s="51">
        <f>'приложение 4'!H673</f>
        <v>0</v>
      </c>
      <c r="H48" s="51">
        <f>'приложение 4'!I673</f>
        <v>0</v>
      </c>
    </row>
    <row r="49" spans="1:8" ht="42.75">
      <c r="A49" s="146">
        <v>29</v>
      </c>
      <c r="B49" s="79" t="s">
        <v>219</v>
      </c>
      <c r="C49" s="50" t="s">
        <v>184</v>
      </c>
      <c r="D49" s="30"/>
      <c r="E49" s="31"/>
      <c r="F49" s="52">
        <f>F50+F59+F84+F93</f>
        <v>814977740.69000006</v>
      </c>
      <c r="G49" s="52">
        <f>G50+G59+G84+G93</f>
        <v>724371565</v>
      </c>
      <c r="H49" s="52">
        <f>H50+H59+H84+H93</f>
        <v>724745294.29999995</v>
      </c>
    </row>
    <row r="50" spans="1:8">
      <c r="A50" s="146">
        <v>30</v>
      </c>
      <c r="B50" s="93" t="s">
        <v>135</v>
      </c>
      <c r="C50" s="47" t="s">
        <v>194</v>
      </c>
      <c r="D50" s="49"/>
      <c r="E50" s="50"/>
      <c r="F50" s="42">
        <f>F51+F52+F53+F54+F57+F58+F55+F56</f>
        <v>237982327.20000002</v>
      </c>
      <c r="G50" s="42">
        <f t="shared" ref="G50:H50" si="8">G51+G52+G53+G54+G57+G58+G55+G56</f>
        <v>209000895</v>
      </c>
      <c r="H50" s="42">
        <f t="shared" si="8"/>
        <v>209000895</v>
      </c>
    </row>
    <row r="51" spans="1:8" ht="60">
      <c r="A51" s="146">
        <v>31</v>
      </c>
      <c r="B51" s="189" t="s">
        <v>332</v>
      </c>
      <c r="C51" s="30" t="str">
        <f>'приложение 4'!E440</f>
        <v>0310000610</v>
      </c>
      <c r="D51" s="30">
        <v>610</v>
      </c>
      <c r="E51" s="31" t="s">
        <v>116</v>
      </c>
      <c r="F51" s="51">
        <f>'приложение 4'!G442</f>
        <v>119620260</v>
      </c>
      <c r="G51" s="51">
        <f>'приложение 4'!H442</f>
        <v>109276060</v>
      </c>
      <c r="H51" s="51">
        <f>'приложение 4'!I442</f>
        <v>112276060</v>
      </c>
    </row>
    <row r="52" spans="1:8" ht="150">
      <c r="A52" s="146">
        <v>32</v>
      </c>
      <c r="B52" s="62" t="s">
        <v>333</v>
      </c>
      <c r="C52" s="30" t="str">
        <f>'приложение 4'!E449</f>
        <v>0310074080</v>
      </c>
      <c r="D52" s="30">
        <v>610</v>
      </c>
      <c r="E52" s="31" t="s">
        <v>116</v>
      </c>
      <c r="F52" s="51">
        <f>'приложение 4'!G449</f>
        <v>42818200</v>
      </c>
      <c r="G52" s="51">
        <f>'приложение 4'!H449</f>
        <v>39876300</v>
      </c>
      <c r="H52" s="51">
        <f>'приложение 4'!I449</f>
        <v>39876300</v>
      </c>
    </row>
    <row r="53" spans="1:8" ht="150">
      <c r="A53" s="146">
        <v>33</v>
      </c>
      <c r="B53" s="62" t="s">
        <v>334</v>
      </c>
      <c r="C53" s="30" t="str">
        <f>'приложение 4'!E452</f>
        <v>0310075880</v>
      </c>
      <c r="D53" s="30">
        <v>610</v>
      </c>
      <c r="E53" s="31" t="s">
        <v>116</v>
      </c>
      <c r="F53" s="51">
        <f>'приложение 4'!G454</f>
        <v>60738300</v>
      </c>
      <c r="G53" s="51">
        <f>'приложение 4'!H454</f>
        <v>54927800</v>
      </c>
      <c r="H53" s="51">
        <f>'приложение 4'!I454</f>
        <v>54927800</v>
      </c>
    </row>
    <row r="54" spans="1:8" ht="135">
      <c r="A54" s="146">
        <v>34</v>
      </c>
      <c r="B54" s="63" t="s">
        <v>335</v>
      </c>
      <c r="C54" s="30" t="str">
        <f>'приложение 4'!E455</f>
        <v>0310075540</v>
      </c>
      <c r="D54" s="30">
        <v>610</v>
      </c>
      <c r="E54" s="31" t="s">
        <v>116</v>
      </c>
      <c r="F54" s="51">
        <f>'приложение 4'!G457</f>
        <v>367200</v>
      </c>
      <c r="G54" s="51">
        <f>'приложение 4'!H457</f>
        <v>367200</v>
      </c>
      <c r="H54" s="51">
        <f>'приложение 4'!I457</f>
        <v>367200</v>
      </c>
    </row>
    <row r="55" spans="1:8" ht="58.5" customHeight="1">
      <c r="A55" s="270">
        <v>35</v>
      </c>
      <c r="B55" s="284" t="s">
        <v>582</v>
      </c>
      <c r="C55" s="269" t="s">
        <v>570</v>
      </c>
      <c r="D55" s="270">
        <v>610</v>
      </c>
      <c r="E55" s="269" t="s">
        <v>116</v>
      </c>
      <c r="F55" s="51">
        <f>'приложение 4'!G458</f>
        <v>400000</v>
      </c>
      <c r="G55" s="51">
        <f>'приложение 4'!H458</f>
        <v>0</v>
      </c>
      <c r="H55" s="51">
        <f>'приложение 4'!I458</f>
        <v>0</v>
      </c>
    </row>
    <row r="56" spans="1:8" ht="73.5" customHeight="1">
      <c r="A56" s="276">
        <v>36</v>
      </c>
      <c r="B56" s="277" t="s">
        <v>591</v>
      </c>
      <c r="C56" s="275" t="s">
        <v>590</v>
      </c>
      <c r="D56" s="276">
        <v>610</v>
      </c>
      <c r="E56" s="275" t="s">
        <v>116</v>
      </c>
      <c r="F56" s="51">
        <f>'приложение 4'!G462</f>
        <v>0</v>
      </c>
      <c r="G56" s="51">
        <f>'приложение 4'!H462</f>
        <v>3000000</v>
      </c>
      <c r="H56" s="51">
        <f>'приложение 4'!I462</f>
        <v>0</v>
      </c>
    </row>
    <row r="57" spans="1:8" ht="100.5" customHeight="1">
      <c r="A57" s="185">
        <v>37</v>
      </c>
      <c r="B57" s="186" t="str">
        <f>'приложение 4'!B446</f>
        <v>Осуществление (возмещение расходов),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"Развитие дошкольного образования" муниципальной программы  Мотыгинского района "Развитие общего и дополнительного образования в Мотыгинском районе"</v>
      </c>
      <c r="C57" s="196" t="str">
        <f>'приложение 4'!E448</f>
        <v>03100S8400</v>
      </c>
      <c r="D57" s="197">
        <f>'приложение 4'!F448</f>
        <v>610</v>
      </c>
      <c r="E57" s="196" t="str">
        <f>'приложение 4'!D448</f>
        <v>0701</v>
      </c>
      <c r="F57" s="51">
        <f>'приложение 4'!G448</f>
        <v>12187831.84</v>
      </c>
      <c r="G57" s="51">
        <f>'приложение 4'!H448</f>
        <v>0</v>
      </c>
      <c r="H57" s="51">
        <f>'приложение 4'!I448</f>
        <v>0</v>
      </c>
    </row>
    <row r="58" spans="1:8" ht="100.5" customHeight="1">
      <c r="A58" s="217">
        <v>38</v>
      </c>
      <c r="B58" s="218" t="s">
        <v>508</v>
      </c>
      <c r="C58" s="215" t="str">
        <f>'приложение 4'!E443</f>
        <v>03100S5820</v>
      </c>
      <c r="D58" s="216">
        <v>610</v>
      </c>
      <c r="E58" s="215" t="s">
        <v>116</v>
      </c>
      <c r="F58" s="51">
        <f>'приложение 4'!G445</f>
        <v>1850535.36</v>
      </c>
      <c r="G58" s="51">
        <f>'приложение 4'!H445</f>
        <v>1553535</v>
      </c>
      <c r="H58" s="51">
        <f>'приложение 4'!I445</f>
        <v>1553535</v>
      </c>
    </row>
    <row r="59" spans="1:8">
      <c r="A59" s="146">
        <v>39</v>
      </c>
      <c r="B59" s="93" t="s">
        <v>136</v>
      </c>
      <c r="C59" s="47" t="s">
        <v>199</v>
      </c>
      <c r="D59" s="49"/>
      <c r="E59" s="50"/>
      <c r="F59" s="42">
        <f>F60+F61+F62+F63+F64+F65+F66+F67+F68+F69+F70+F73+F74+F78+F82+F72+F80+F79+F83+F81+F75+F76+F77</f>
        <v>503683664.35000008</v>
      </c>
      <c r="G59" s="42">
        <f t="shared" ref="G59:H59" si="9">G60+G61+G62+G63+G64+G65+G66+G67+G68+G69+G70+G73+G74+G78+G82+G72+G80+G79+G83+G81+G75+G76+G77</f>
        <v>448978033.20000005</v>
      </c>
      <c r="H59" s="42">
        <f t="shared" si="9"/>
        <v>449351762.5</v>
      </c>
    </row>
    <row r="60" spans="1:8" ht="60">
      <c r="A60" s="146">
        <v>40</v>
      </c>
      <c r="B60" s="56" t="s">
        <v>336</v>
      </c>
      <c r="C60" s="30" t="str">
        <f>'приложение 4'!E472</f>
        <v>0320000610</v>
      </c>
      <c r="D60" s="30">
        <v>610</v>
      </c>
      <c r="E60" s="31" t="s">
        <v>117</v>
      </c>
      <c r="F60" s="29">
        <f>'приложение 4'!G474</f>
        <v>193108540</v>
      </c>
      <c r="G60" s="29">
        <f>'приложение 4'!H474</f>
        <v>191793547</v>
      </c>
      <c r="H60" s="29">
        <f>'приложение 4'!I474</f>
        <v>191773051.94</v>
      </c>
    </row>
    <row r="61" spans="1:8" ht="45">
      <c r="A61" s="184">
        <v>41</v>
      </c>
      <c r="B61" s="188" t="s">
        <v>467</v>
      </c>
      <c r="C61" s="182" t="str">
        <f>'приложение 4'!E477</f>
        <v>03200L3030</v>
      </c>
      <c r="D61" s="184">
        <v>610</v>
      </c>
      <c r="E61" s="182" t="s">
        <v>117</v>
      </c>
      <c r="F61" s="29">
        <f>'приложение 4'!G477</f>
        <v>21005200</v>
      </c>
      <c r="G61" s="29">
        <f>'приложение 4'!H477</f>
        <v>18701900</v>
      </c>
      <c r="H61" s="29">
        <f>'приложение 4'!I477</f>
        <v>18701900</v>
      </c>
    </row>
    <row r="62" spans="1:8" ht="90">
      <c r="A62" s="146">
        <v>42</v>
      </c>
      <c r="B62" s="64" t="s">
        <v>337</v>
      </c>
      <c r="C62" s="30" t="str">
        <f>'приложение 4'!E486</f>
        <v>0320076490</v>
      </c>
      <c r="D62" s="30">
        <v>610</v>
      </c>
      <c r="E62" s="31" t="s">
        <v>117</v>
      </c>
      <c r="F62" s="29">
        <f>'приложение 4'!G486</f>
        <v>3998000</v>
      </c>
      <c r="G62" s="29">
        <f>'приложение 4'!H486</f>
        <v>3998000</v>
      </c>
      <c r="H62" s="29">
        <f>'приложение 4'!I486</f>
        <v>3998000</v>
      </c>
    </row>
    <row r="63" spans="1:8" ht="135">
      <c r="A63" s="146">
        <v>43</v>
      </c>
      <c r="B63" s="62" t="s">
        <v>338</v>
      </c>
      <c r="C63" s="30" t="str">
        <f>'приложение 4'!E487</f>
        <v>0320074090</v>
      </c>
      <c r="D63" s="30">
        <v>610</v>
      </c>
      <c r="E63" s="31" t="s">
        <v>117</v>
      </c>
      <c r="F63" s="29">
        <f>'приложение 4'!G489</f>
        <v>41638100</v>
      </c>
      <c r="G63" s="29">
        <f>'приложение 4'!H489</f>
        <v>42746900</v>
      </c>
      <c r="H63" s="29">
        <f>'приложение 4'!I489</f>
        <v>42746900</v>
      </c>
    </row>
    <row r="64" spans="1:8" ht="75">
      <c r="A64" s="146">
        <v>44</v>
      </c>
      <c r="B64" s="90" t="s">
        <v>362</v>
      </c>
      <c r="C64" s="31" t="str">
        <f>'приложение 4'!E496</f>
        <v>03200S5630</v>
      </c>
      <c r="D64" s="30">
        <v>610</v>
      </c>
      <c r="E64" s="31" t="s">
        <v>117</v>
      </c>
      <c r="F64" s="29">
        <f>'приложение 4'!G498</f>
        <v>2201710</v>
      </c>
      <c r="G64" s="29">
        <f>'приложение 4'!H498</f>
        <v>1843710</v>
      </c>
      <c r="H64" s="29">
        <f>'приложение 4'!I498</f>
        <v>1843710</v>
      </c>
    </row>
    <row r="65" spans="1:8" ht="55.5" customHeight="1">
      <c r="A65" s="355">
        <v>45</v>
      </c>
      <c r="B65" s="386" t="s">
        <v>339</v>
      </c>
      <c r="C65" s="355" t="str">
        <f>'приложение 4'!E499</f>
        <v>0320075640</v>
      </c>
      <c r="D65" s="30">
        <v>610</v>
      </c>
      <c r="E65" s="31" t="s">
        <v>117</v>
      </c>
      <c r="F65" s="29">
        <f>'приложение 4'!G501</f>
        <v>165871300</v>
      </c>
      <c r="G65" s="29">
        <f>'приложение 4'!H501</f>
        <v>164190700</v>
      </c>
      <c r="H65" s="29">
        <f>'приложение 4'!I501</f>
        <v>164190700</v>
      </c>
    </row>
    <row r="66" spans="1:8" ht="88.5" customHeight="1">
      <c r="A66" s="355"/>
      <c r="B66" s="386"/>
      <c r="C66" s="355"/>
      <c r="D66" s="30">
        <v>610</v>
      </c>
      <c r="E66" s="31" t="s">
        <v>167</v>
      </c>
      <c r="F66" s="29">
        <f>'приложение 4'!G530</f>
        <v>2199500</v>
      </c>
      <c r="G66" s="29">
        <f>'приложение 4'!H530</f>
        <v>2895600</v>
      </c>
      <c r="H66" s="29">
        <f>'приложение 4'!I530</f>
        <v>2895600</v>
      </c>
    </row>
    <row r="67" spans="1:8" ht="85.5" customHeight="1">
      <c r="A67" s="146">
        <v>46</v>
      </c>
      <c r="B67" s="198" t="str">
        <f>'приложение 4'!B490</f>
        <v>Создание в общеобразовательных организациях, расположенных в сельской местности и малых городах, условий для занятий физической культурой и спортом  в рамках подпрограммы "Развитие общего образования" муниципальной программы «Развитие общего и дополнительного образования в Мотыгинском районе »</v>
      </c>
      <c r="C67" s="196" t="str">
        <f>'приложение 4'!E490</f>
        <v>03200S4300</v>
      </c>
      <c r="D67" s="197">
        <f>'приложение 4'!F492</f>
        <v>610</v>
      </c>
      <c r="E67" s="196" t="str">
        <f>'приложение 4'!D492</f>
        <v>0702</v>
      </c>
      <c r="F67" s="29">
        <f>'приложение 4'!G492</f>
        <v>0</v>
      </c>
      <c r="G67" s="29">
        <f>'приложение 4'!H492</f>
        <v>0</v>
      </c>
      <c r="H67" s="29">
        <f>'приложение 4'!I492</f>
        <v>0</v>
      </c>
    </row>
    <row r="68" spans="1:8" ht="82.5" customHeight="1">
      <c r="A68" s="166">
        <v>47</v>
      </c>
      <c r="B68" s="198" t="str">
        <f>'приложение 4'!B493</f>
        <v>Проведение реконструкции или капитального ремонта зданий муниципальных общеобразовательных организаций, находящихся в аварийном состоянии в рамках подпрограммы "Развитие общего образования" муниципальной программы «Развитие общего и дополнительного образования в Мотыгинском районе »</v>
      </c>
      <c r="C68" s="196" t="str">
        <f>'приложение 4'!E493</f>
        <v>03200S5620</v>
      </c>
      <c r="D68" s="197">
        <f>'приложение 4'!F495</f>
        <v>610</v>
      </c>
      <c r="E68" s="196" t="str">
        <f>'приложение 4'!D495</f>
        <v>0702</v>
      </c>
      <c r="F68" s="29">
        <f>'приложение 4'!G495</f>
        <v>33912798.939999998</v>
      </c>
      <c r="G68" s="29">
        <f>'приложение 4'!H495</f>
        <v>0</v>
      </c>
      <c r="H68" s="29">
        <f>'приложение 4'!I495</f>
        <v>0</v>
      </c>
    </row>
    <row r="69" spans="1:8" ht="72.75" customHeight="1">
      <c r="A69" s="164">
        <v>48</v>
      </c>
      <c r="B69" s="165" t="s">
        <v>457</v>
      </c>
      <c r="C69" s="163" t="str">
        <f>'приложение 4'!E517</f>
        <v>0320088270</v>
      </c>
      <c r="D69" s="164">
        <v>610</v>
      </c>
      <c r="E69" s="163" t="s">
        <v>117</v>
      </c>
      <c r="F69" s="29">
        <f>'приложение 4'!G517</f>
        <v>480000</v>
      </c>
      <c r="G69" s="29">
        <f>'приложение 4'!H517</f>
        <v>480000</v>
      </c>
      <c r="H69" s="29">
        <f>'приложение 4'!I517</f>
        <v>480000</v>
      </c>
    </row>
    <row r="70" spans="1:8" ht="55.5" customHeight="1">
      <c r="A70" s="349">
        <v>49</v>
      </c>
      <c r="B70" s="353" t="s">
        <v>507</v>
      </c>
      <c r="C70" s="351" t="str">
        <f>'приложение 4'!E502</f>
        <v>032Е151720</v>
      </c>
      <c r="D70" s="349">
        <v>610</v>
      </c>
      <c r="E70" s="351" t="s">
        <v>117</v>
      </c>
      <c r="F70" s="344">
        <f>'приложение 4'!G504</f>
        <v>4435152.4800000004</v>
      </c>
      <c r="G70" s="344">
        <f>'приложение 4'!H504</f>
        <v>0</v>
      </c>
      <c r="H70" s="344">
        <f>'приложение 4'!I504</f>
        <v>0</v>
      </c>
    </row>
    <row r="71" spans="1:8" ht="72.75" customHeight="1">
      <c r="A71" s="350"/>
      <c r="B71" s="354"/>
      <c r="C71" s="352"/>
      <c r="D71" s="350"/>
      <c r="E71" s="352"/>
      <c r="F71" s="345"/>
      <c r="G71" s="345"/>
      <c r="H71" s="345"/>
    </row>
    <row r="72" spans="1:8" ht="93" customHeight="1">
      <c r="A72" s="240">
        <v>50</v>
      </c>
      <c r="B72" s="244" t="s">
        <v>533</v>
      </c>
      <c r="C72" s="239" t="str">
        <f>'приложение 4'!E480</f>
        <v>0320015210</v>
      </c>
      <c r="D72" s="240">
        <v>610</v>
      </c>
      <c r="E72" s="239" t="s">
        <v>117</v>
      </c>
      <c r="F72" s="241">
        <f>'приложение 4'!G480</f>
        <v>2727273</v>
      </c>
      <c r="G72" s="241">
        <f>'приложение 4'!H480</f>
        <v>0</v>
      </c>
      <c r="H72" s="241">
        <f>'приложение 4'!I480</f>
        <v>0</v>
      </c>
    </row>
    <row r="73" spans="1:8" ht="42" customHeight="1">
      <c r="A73" s="355">
        <v>51</v>
      </c>
      <c r="B73" s="387" t="s">
        <v>342</v>
      </c>
      <c r="C73" s="355" t="str">
        <f>'приложение 4'!E566</f>
        <v>0320075660</v>
      </c>
      <c r="D73" s="30">
        <v>610</v>
      </c>
      <c r="E73" s="346" t="s">
        <v>127</v>
      </c>
      <c r="F73" s="29">
        <f>'приложение 4'!G570</f>
        <v>7700400</v>
      </c>
      <c r="G73" s="29">
        <f>'приложение 4'!H570</f>
        <v>7700400</v>
      </c>
      <c r="H73" s="29">
        <f>'приложение 4'!I570</f>
        <v>7700400</v>
      </c>
    </row>
    <row r="74" spans="1:8" ht="48" customHeight="1">
      <c r="A74" s="355"/>
      <c r="B74" s="387"/>
      <c r="C74" s="355"/>
      <c r="D74" s="30">
        <v>320</v>
      </c>
      <c r="E74" s="346"/>
      <c r="F74" s="29">
        <f>'приложение 4'!G568</f>
        <v>0</v>
      </c>
      <c r="G74" s="29">
        <f>'приложение 4'!H568</f>
        <v>0</v>
      </c>
      <c r="H74" s="29">
        <f>'приложение 4'!I568</f>
        <v>0</v>
      </c>
    </row>
    <row r="75" spans="1:8" ht="81.75" customHeight="1">
      <c r="A75" s="266">
        <v>52</v>
      </c>
      <c r="B75" s="271" t="s">
        <v>579</v>
      </c>
      <c r="C75" s="269" t="s">
        <v>575</v>
      </c>
      <c r="D75" s="270">
        <v>610</v>
      </c>
      <c r="E75" s="269" t="s">
        <v>117</v>
      </c>
      <c r="F75" s="29">
        <f>'приложение 4'!G508</f>
        <v>4518554.7300000004</v>
      </c>
      <c r="G75" s="29">
        <f>'приложение 4'!H508</f>
        <v>0</v>
      </c>
      <c r="H75" s="29">
        <f>'приложение 4'!I508</f>
        <v>0</v>
      </c>
    </row>
    <row r="76" spans="1:8" ht="66" customHeight="1">
      <c r="A76" s="266">
        <v>53</v>
      </c>
      <c r="B76" s="282" t="s">
        <v>606</v>
      </c>
      <c r="C76" s="269" t="s">
        <v>571</v>
      </c>
      <c r="D76" s="270">
        <v>610</v>
      </c>
      <c r="E76" s="269" t="s">
        <v>117</v>
      </c>
      <c r="F76" s="29">
        <f>'приложение 4'!G511</f>
        <v>800000</v>
      </c>
      <c r="G76" s="29">
        <f>'приложение 4'!H511</f>
        <v>0</v>
      </c>
      <c r="H76" s="29">
        <f>'приложение 4'!I511</f>
        <v>0</v>
      </c>
    </row>
    <row r="77" spans="1:8" ht="84.75" customHeight="1">
      <c r="A77" s="266">
        <v>54</v>
      </c>
      <c r="B77" s="271" t="s">
        <v>580</v>
      </c>
      <c r="C77" s="269" t="s">
        <v>576</v>
      </c>
      <c r="D77" s="270">
        <v>610</v>
      </c>
      <c r="E77" s="269" t="s">
        <v>117</v>
      </c>
      <c r="F77" s="134">
        <f>'приложение 4'!G514</f>
        <v>400000</v>
      </c>
      <c r="G77" s="134">
        <f>'приложение 4'!H514</f>
        <v>0</v>
      </c>
      <c r="H77" s="134">
        <f>'приложение 4'!I514</f>
        <v>0</v>
      </c>
    </row>
    <row r="78" spans="1:8" ht="73.5" customHeight="1">
      <c r="A78" s="349">
        <v>55</v>
      </c>
      <c r="B78" s="391" t="s">
        <v>418</v>
      </c>
      <c r="C78" s="119" t="str">
        <f>'приложение 4'!E571</f>
        <v>03200L3040</v>
      </c>
      <c r="D78" s="118">
        <v>610</v>
      </c>
      <c r="E78" s="119" t="s">
        <v>127</v>
      </c>
      <c r="F78" s="29">
        <f>'приложение 4'!G571</f>
        <v>10348848.85</v>
      </c>
      <c r="G78" s="29">
        <f>'приложение 4'!H571</f>
        <v>10310538.6</v>
      </c>
      <c r="H78" s="29">
        <f>'приложение 4'!I571</f>
        <v>10166562.960000001</v>
      </c>
    </row>
    <row r="79" spans="1:8" ht="51.75" customHeight="1">
      <c r="A79" s="350"/>
      <c r="B79" s="393"/>
      <c r="C79" s="250" t="s">
        <v>562</v>
      </c>
      <c r="D79" s="246">
        <v>610</v>
      </c>
      <c r="E79" s="250" t="s">
        <v>127</v>
      </c>
      <c r="F79" s="29">
        <f>'приложение 4'!G575</f>
        <v>48748.75</v>
      </c>
      <c r="G79" s="29">
        <f>'приложение 4'!H575</f>
        <v>87200</v>
      </c>
      <c r="H79" s="29">
        <f>'приложение 4'!I575</f>
        <v>87200</v>
      </c>
    </row>
    <row r="80" spans="1:8" ht="53.25" customHeight="1">
      <c r="A80" s="349">
        <v>56</v>
      </c>
      <c r="B80" s="347" t="s">
        <v>535</v>
      </c>
      <c r="C80" s="351" t="str">
        <f>'приложение 4'!E581</f>
        <v>03200S5830</v>
      </c>
      <c r="D80" s="243">
        <v>610</v>
      </c>
      <c r="E80" s="242" t="s">
        <v>127</v>
      </c>
      <c r="F80" s="29">
        <f>'приложение 4'!G581</f>
        <v>1208997.6000000001</v>
      </c>
      <c r="G80" s="29">
        <f>'приложение 4'!H581</f>
        <v>1398997.6</v>
      </c>
      <c r="H80" s="29">
        <f>'приложение 4'!I581</f>
        <v>1398997.6</v>
      </c>
    </row>
    <row r="81" spans="1:8" ht="33.75" customHeight="1">
      <c r="A81" s="350"/>
      <c r="B81" s="348"/>
      <c r="C81" s="352"/>
      <c r="D81" s="263">
        <v>320</v>
      </c>
      <c r="E81" s="262" t="s">
        <v>127</v>
      </c>
      <c r="F81" s="29">
        <f>'приложение 4'!G579</f>
        <v>190000</v>
      </c>
      <c r="G81" s="29">
        <f>'приложение 4'!H579</f>
        <v>0</v>
      </c>
      <c r="H81" s="29">
        <f>'приложение 4'!I579</f>
        <v>0</v>
      </c>
    </row>
    <row r="82" spans="1:8" ht="60.75" customHeight="1">
      <c r="A82" s="217">
        <v>57</v>
      </c>
      <c r="B82" s="219" t="str">
        <f>'приложение 4'!B481</f>
        <v>Устройство плоскостных спортивных сооружений в сельской местности  в рамках подпрограммы "Развитие общего образования" муниципальной программы «Развитие общего и дополнительного образования в Мотыгинском районе »</v>
      </c>
      <c r="C82" s="215" t="str">
        <f>'приложение 4'!E481</f>
        <v>03200S8450</v>
      </c>
      <c r="D82" s="217">
        <v>610</v>
      </c>
      <c r="E82" s="215" t="s">
        <v>117</v>
      </c>
      <c r="F82" s="29">
        <f>'приложение 4'!G483</f>
        <v>4060000</v>
      </c>
      <c r="G82" s="29">
        <f>'приложение 4'!H483</f>
        <v>0</v>
      </c>
      <c r="H82" s="29">
        <f>'приложение 4'!I483</f>
        <v>0</v>
      </c>
    </row>
    <row r="83" spans="1:8" ht="60.75" customHeight="1">
      <c r="A83" s="263">
        <v>58</v>
      </c>
      <c r="B83" s="264" t="str">
        <f>'приложение 4'!B505</f>
        <v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v>
      </c>
      <c r="C83" s="262" t="str">
        <f>'приложение 4'!E507</f>
        <v>032ЕВ51790</v>
      </c>
      <c r="D83" s="263">
        <v>610</v>
      </c>
      <c r="E83" s="262" t="s">
        <v>117</v>
      </c>
      <c r="F83" s="29">
        <f>'приложение 4'!G507</f>
        <v>2830540</v>
      </c>
      <c r="G83" s="29">
        <f>'приложение 4'!H507</f>
        <v>2830540</v>
      </c>
      <c r="H83" s="29">
        <f>'приложение 4'!I507</f>
        <v>3368740</v>
      </c>
    </row>
    <row r="84" spans="1:8">
      <c r="A84" s="146">
        <v>59</v>
      </c>
      <c r="B84" s="93" t="s">
        <v>137</v>
      </c>
      <c r="C84" s="47" t="s">
        <v>203</v>
      </c>
      <c r="D84" s="49"/>
      <c r="E84" s="50"/>
      <c r="F84" s="42">
        <f>F85+F86+F87+F88+F89+F91+F92+F90</f>
        <v>38889754.139999993</v>
      </c>
      <c r="G84" s="42">
        <f t="shared" ref="G84:H84" si="10">G85+G86+G87+G88+G89+G91+G92+G90</f>
        <v>33444040.800000001</v>
      </c>
      <c r="H84" s="42">
        <f t="shared" si="10"/>
        <v>33444040.800000001</v>
      </c>
    </row>
    <row r="85" spans="1:8" ht="60">
      <c r="A85" s="146">
        <v>60</v>
      </c>
      <c r="B85" s="56" t="s">
        <v>343</v>
      </c>
      <c r="C85" s="30" t="str">
        <f>'приложение 4'!E532</f>
        <v>0330000660</v>
      </c>
      <c r="D85" s="30">
        <v>610</v>
      </c>
      <c r="E85" s="31" t="s">
        <v>167</v>
      </c>
      <c r="F85" s="29">
        <f>'приложение 4'!G534</f>
        <v>31171737.529999997</v>
      </c>
      <c r="G85" s="29">
        <f>'приложение 4'!H534</f>
        <v>33444040.800000001</v>
      </c>
      <c r="H85" s="29">
        <f>'приложение 4'!I534</f>
        <v>33444040.800000001</v>
      </c>
    </row>
    <row r="86" spans="1:8">
      <c r="A86" s="349">
        <v>61</v>
      </c>
      <c r="B86" s="391" t="s">
        <v>449</v>
      </c>
      <c r="C86" s="351" t="s">
        <v>428</v>
      </c>
      <c r="D86" s="135">
        <v>610</v>
      </c>
      <c r="E86" s="136" t="s">
        <v>167</v>
      </c>
      <c r="F86" s="29">
        <f>'приложение 4'!G537</f>
        <v>5620566.6699999999</v>
      </c>
      <c r="G86" s="29">
        <f>'приложение 4'!H537</f>
        <v>0</v>
      </c>
      <c r="H86" s="29">
        <f>'приложение 4'!I537</f>
        <v>0</v>
      </c>
    </row>
    <row r="87" spans="1:8">
      <c r="A87" s="360"/>
      <c r="B87" s="392"/>
      <c r="C87" s="390"/>
      <c r="D87" s="141">
        <v>620</v>
      </c>
      <c r="E87" s="140" t="s">
        <v>167</v>
      </c>
      <c r="F87" s="29">
        <f>'приложение 4'!G538</f>
        <v>20600</v>
      </c>
      <c r="G87" s="29">
        <f>'приложение 4'!H538</f>
        <v>0</v>
      </c>
      <c r="H87" s="29">
        <f>'приложение 4'!I538</f>
        <v>0</v>
      </c>
    </row>
    <row r="88" spans="1:8">
      <c r="A88" s="360"/>
      <c r="B88" s="392"/>
      <c r="C88" s="390"/>
      <c r="D88" s="141">
        <v>630</v>
      </c>
      <c r="E88" s="140" t="s">
        <v>167</v>
      </c>
      <c r="F88" s="29">
        <f>'приложение 4'!G539</f>
        <v>20600</v>
      </c>
      <c r="G88" s="29">
        <f>'приложение 4'!H539</f>
        <v>0</v>
      </c>
      <c r="H88" s="29">
        <f>'приложение 4'!I539</f>
        <v>0</v>
      </c>
    </row>
    <row r="89" spans="1:8">
      <c r="A89" s="350"/>
      <c r="B89" s="393"/>
      <c r="C89" s="352"/>
      <c r="D89" s="141">
        <v>810</v>
      </c>
      <c r="E89" s="140" t="s">
        <v>167</v>
      </c>
      <c r="F89" s="29">
        <f>'приложение 4'!G541</f>
        <v>20600</v>
      </c>
      <c r="G89" s="29">
        <f>'приложение 4'!H541</f>
        <v>0</v>
      </c>
      <c r="H89" s="29">
        <f>'приложение 4'!I541</f>
        <v>0</v>
      </c>
    </row>
    <row r="90" spans="1:8" ht="62.25" customHeight="1">
      <c r="A90" s="267">
        <v>62</v>
      </c>
      <c r="B90" s="285" t="s">
        <v>607</v>
      </c>
      <c r="C90" s="268" t="s">
        <v>574</v>
      </c>
      <c r="D90" s="270">
        <v>610</v>
      </c>
      <c r="E90" s="269" t="s">
        <v>167</v>
      </c>
      <c r="F90" s="29">
        <f>'приложение 4'!G542</f>
        <v>100000</v>
      </c>
      <c r="G90" s="29">
        <f>'приложение 4'!H542</f>
        <v>0</v>
      </c>
      <c r="H90" s="29">
        <f>'приложение 4'!I542</f>
        <v>0</v>
      </c>
    </row>
    <row r="91" spans="1:8" ht="98.25" customHeight="1">
      <c r="A91" s="146">
        <v>63</v>
      </c>
      <c r="B91" s="198" t="str">
        <f>'приложение 4'!B545</f>
        <v>Модернизация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 в рамках подпрограммы "Развитие дополнительного образования детей" муниципальной программы «Развитие дополнительного образования в Мотыгинском районе »</v>
      </c>
      <c r="C91" s="196" t="str">
        <f>'приложение 4'!E547</f>
        <v>03300S4370</v>
      </c>
      <c r="D91" s="197">
        <f>'приложение 4'!F547</f>
        <v>610</v>
      </c>
      <c r="E91" s="196" t="str">
        <f>'приложение 4'!D545</f>
        <v>0703</v>
      </c>
      <c r="F91" s="29">
        <f>'приложение 4'!G547</f>
        <v>0</v>
      </c>
      <c r="G91" s="29">
        <f>'приложение 4'!H547</f>
        <v>0</v>
      </c>
      <c r="H91" s="29">
        <f>'приложение 4'!I547</f>
        <v>0</v>
      </c>
    </row>
    <row r="92" spans="1:8" ht="98.25" customHeight="1">
      <c r="A92" s="246">
        <v>64</v>
      </c>
      <c r="B92" s="252" t="s">
        <v>564</v>
      </c>
      <c r="C92" s="250" t="s">
        <v>563</v>
      </c>
      <c r="D92" s="251">
        <v>610</v>
      </c>
      <c r="E92" s="250" t="s">
        <v>167</v>
      </c>
      <c r="F92" s="29">
        <f>'приложение 4'!G548</f>
        <v>1935649.94</v>
      </c>
      <c r="G92" s="29">
        <f>'приложение 4'!H548</f>
        <v>0</v>
      </c>
      <c r="H92" s="29">
        <f>'приложение 4'!I548</f>
        <v>0</v>
      </c>
    </row>
    <row r="93" spans="1:8">
      <c r="A93" s="146">
        <v>65</v>
      </c>
      <c r="B93" s="93" t="s">
        <v>55</v>
      </c>
      <c r="C93" s="59" t="s">
        <v>56</v>
      </c>
      <c r="D93" s="59"/>
      <c r="E93" s="47"/>
      <c r="F93" s="42">
        <f>F94+F95+F98+F99+F100+F101+F97+F96</f>
        <v>34421995</v>
      </c>
      <c r="G93" s="42">
        <f t="shared" ref="G93:H93" si="11">G94+G95+G98+G99+G100+G101+G97+G96</f>
        <v>32948596</v>
      </c>
      <c r="H93" s="42">
        <f t="shared" si="11"/>
        <v>32948596</v>
      </c>
    </row>
    <row r="94" spans="1:8">
      <c r="A94" s="355">
        <v>66</v>
      </c>
      <c r="B94" s="368" t="s">
        <v>340</v>
      </c>
      <c r="C94" s="355" t="str">
        <f>'приложение 4'!E554</f>
        <v>0340000610</v>
      </c>
      <c r="D94" s="30">
        <v>110</v>
      </c>
      <c r="E94" s="31" t="s">
        <v>119</v>
      </c>
      <c r="F94" s="29">
        <f>'приложение 4'!G556</f>
        <v>24706065</v>
      </c>
      <c r="G94" s="29">
        <f>'приложение 4'!H556</f>
        <v>23485766</v>
      </c>
      <c r="H94" s="29">
        <f>'приложение 4'!I556</f>
        <v>23485766</v>
      </c>
    </row>
    <row r="95" spans="1:8">
      <c r="A95" s="355"/>
      <c r="B95" s="368"/>
      <c r="C95" s="355"/>
      <c r="D95" s="30">
        <v>240</v>
      </c>
      <c r="E95" s="31" t="s">
        <v>119</v>
      </c>
      <c r="F95" s="29">
        <f>'приложение 4'!G558</f>
        <v>3163630</v>
      </c>
      <c r="G95" s="29">
        <f>'приложение 4'!H558</f>
        <v>3163630</v>
      </c>
      <c r="H95" s="29">
        <f>'приложение 4'!I558</f>
        <v>3163630</v>
      </c>
    </row>
    <row r="96" spans="1:8">
      <c r="A96" s="355"/>
      <c r="B96" s="368"/>
      <c r="C96" s="355"/>
      <c r="D96" s="30">
        <v>830</v>
      </c>
      <c r="E96" s="31" t="s">
        <v>119</v>
      </c>
      <c r="F96" s="29">
        <f>'приложение 4'!G560</f>
        <v>5000</v>
      </c>
      <c r="G96" s="29">
        <f>'приложение 4'!H560</f>
        <v>5000</v>
      </c>
      <c r="H96" s="29">
        <f>'приложение 4'!I560</f>
        <v>5000</v>
      </c>
    </row>
    <row r="97" spans="1:8">
      <c r="A97" s="355"/>
      <c r="B97" s="368"/>
      <c r="C97" s="355"/>
      <c r="D97" s="30">
        <v>850</v>
      </c>
      <c r="E97" s="31" t="s">
        <v>119</v>
      </c>
      <c r="F97" s="29">
        <f>'приложение 4'!G561</f>
        <v>45000</v>
      </c>
      <c r="G97" s="29">
        <f>'приложение 4'!H561</f>
        <v>45000</v>
      </c>
      <c r="H97" s="29">
        <f>'приложение 4'!I561</f>
        <v>45000</v>
      </c>
    </row>
    <row r="98" spans="1:8">
      <c r="A98" s="355">
        <v>67</v>
      </c>
      <c r="B98" s="387" t="s">
        <v>149</v>
      </c>
      <c r="C98" s="355" t="str">
        <f>'приложение 4'!E312</f>
        <v>0340075520</v>
      </c>
      <c r="D98" s="30">
        <v>120</v>
      </c>
      <c r="E98" s="31" t="s">
        <v>119</v>
      </c>
      <c r="F98" s="29">
        <f>'приложение 4'!G314</f>
        <v>3296980</v>
      </c>
      <c r="G98" s="29">
        <f>'приложение 4'!H314</f>
        <v>2925014</v>
      </c>
      <c r="H98" s="29">
        <f>'приложение 4'!I314</f>
        <v>2925014</v>
      </c>
    </row>
    <row r="99" spans="1:8" ht="45.75" customHeight="1">
      <c r="A99" s="355"/>
      <c r="B99" s="387"/>
      <c r="C99" s="355"/>
      <c r="D99" s="30">
        <v>240</v>
      </c>
      <c r="E99" s="31" t="s">
        <v>119</v>
      </c>
      <c r="F99" s="29">
        <f>'приложение 4'!G316</f>
        <v>626220</v>
      </c>
      <c r="G99" s="29">
        <f>'приложение 4'!H316</f>
        <v>745086</v>
      </c>
      <c r="H99" s="29">
        <f>'приложение 4'!I316</f>
        <v>745086</v>
      </c>
    </row>
    <row r="100" spans="1:8">
      <c r="A100" s="355">
        <v>68</v>
      </c>
      <c r="B100" s="386" t="s">
        <v>341</v>
      </c>
      <c r="C100" s="355" t="str">
        <f>'приложение 4'!E585</f>
        <v>0340075560</v>
      </c>
      <c r="D100" s="30">
        <v>320</v>
      </c>
      <c r="E100" s="31" t="s">
        <v>166</v>
      </c>
      <c r="F100" s="29">
        <f>'приложение 4'!G587</f>
        <v>2559100</v>
      </c>
      <c r="G100" s="29">
        <f>'приложение 4'!H587</f>
        <v>2559100</v>
      </c>
      <c r="H100" s="29">
        <f>'приложение 4'!I587</f>
        <v>2559100</v>
      </c>
    </row>
    <row r="101" spans="1:8" ht="89.25" customHeight="1">
      <c r="A101" s="355"/>
      <c r="B101" s="386"/>
      <c r="C101" s="355"/>
      <c r="D101" s="30">
        <v>240</v>
      </c>
      <c r="E101" s="31" t="s">
        <v>166</v>
      </c>
      <c r="F101" s="29">
        <f>'приложение 4'!G589</f>
        <v>20000</v>
      </c>
      <c r="G101" s="29">
        <f>'приложение 4'!H589</f>
        <v>20000</v>
      </c>
      <c r="H101" s="29">
        <f>'приложение 4'!I589</f>
        <v>20000</v>
      </c>
    </row>
    <row r="102" spans="1:8" ht="28.5">
      <c r="A102" s="146">
        <v>69</v>
      </c>
      <c r="B102" s="79" t="s">
        <v>220</v>
      </c>
      <c r="C102" s="50" t="s">
        <v>210</v>
      </c>
      <c r="D102" s="30"/>
      <c r="E102" s="31"/>
      <c r="F102" s="52">
        <f>F103+F107+F110</f>
        <v>11451238.199999999</v>
      </c>
      <c r="G102" s="52">
        <f>G103+G107+G110</f>
        <v>8118577.2000000002</v>
      </c>
      <c r="H102" s="52">
        <f>H103+H107+H110</f>
        <v>8118577.2000000002</v>
      </c>
    </row>
    <row r="103" spans="1:8" ht="30">
      <c r="A103" s="146">
        <v>70</v>
      </c>
      <c r="B103" s="93" t="s">
        <v>301</v>
      </c>
      <c r="C103" s="47" t="s">
        <v>241</v>
      </c>
      <c r="D103" s="49"/>
      <c r="E103" s="50"/>
      <c r="F103" s="42">
        <f>F104+F106+F105</f>
        <v>11086638.199999999</v>
      </c>
      <c r="G103" s="42">
        <f t="shared" ref="G103:H103" si="12">G104+G106+G105</f>
        <v>7953977.2000000002</v>
      </c>
      <c r="H103" s="42">
        <f t="shared" si="12"/>
        <v>7953977.2000000002</v>
      </c>
    </row>
    <row r="104" spans="1:8" ht="66.75" customHeight="1">
      <c r="A104" s="146">
        <v>71</v>
      </c>
      <c r="B104" s="68" t="s">
        <v>345</v>
      </c>
      <c r="C104" s="31" t="s">
        <v>302</v>
      </c>
      <c r="D104" s="30">
        <v>610</v>
      </c>
      <c r="E104" s="31" t="s">
        <v>118</v>
      </c>
      <c r="F104" s="51">
        <f>'приложение 4'!G606</f>
        <v>10483238.199999999</v>
      </c>
      <c r="G104" s="51">
        <f>'приложение 4'!H606</f>
        <v>7450577.2000000002</v>
      </c>
      <c r="H104" s="51">
        <f>'приложение 4'!I606</f>
        <v>7450577.2000000002</v>
      </c>
    </row>
    <row r="105" spans="1:8" ht="31.5" customHeight="1">
      <c r="A105" s="146">
        <v>72</v>
      </c>
      <c r="B105" s="138" t="s">
        <v>444</v>
      </c>
      <c r="C105" s="40" t="s">
        <v>433</v>
      </c>
      <c r="D105" s="135">
        <v>540</v>
      </c>
      <c r="E105" s="136" t="s">
        <v>118</v>
      </c>
      <c r="F105" s="51">
        <f>'приложение 4'!G86</f>
        <v>100000</v>
      </c>
      <c r="G105" s="51">
        <f>'приложение 4'!H86</f>
        <v>0</v>
      </c>
      <c r="H105" s="51">
        <f>'приложение 4'!I86</f>
        <v>0</v>
      </c>
    </row>
    <row r="106" spans="1:8" ht="60">
      <c r="A106" s="146">
        <v>73</v>
      </c>
      <c r="B106" s="90" t="s">
        <v>360</v>
      </c>
      <c r="C106" s="31" t="s">
        <v>303</v>
      </c>
      <c r="D106" s="30">
        <v>610</v>
      </c>
      <c r="E106" s="31" t="s">
        <v>118</v>
      </c>
      <c r="F106" s="51">
        <f>'приложение 4'!G609</f>
        <v>503400</v>
      </c>
      <c r="G106" s="51">
        <f>'приложение 4'!H609</f>
        <v>503400</v>
      </c>
      <c r="H106" s="51">
        <f>'приложение 4'!I609</f>
        <v>503400</v>
      </c>
    </row>
    <row r="107" spans="1:8" ht="30">
      <c r="A107" s="146">
        <v>74</v>
      </c>
      <c r="B107" s="57" t="s">
        <v>307</v>
      </c>
      <c r="C107" s="47" t="s">
        <v>211</v>
      </c>
      <c r="D107" s="49"/>
      <c r="E107" s="50"/>
      <c r="F107" s="42">
        <f t="shared" ref="F107:G107" si="13">F108+F109</f>
        <v>294600</v>
      </c>
      <c r="G107" s="42">
        <f t="shared" si="13"/>
        <v>94600</v>
      </c>
      <c r="H107" s="42">
        <f t="shared" ref="H107" si="14">H108+H109</f>
        <v>94600</v>
      </c>
    </row>
    <row r="108" spans="1:8" ht="75">
      <c r="A108" s="146">
        <v>75</v>
      </c>
      <c r="B108" s="55" t="s">
        <v>346</v>
      </c>
      <c r="C108" s="31" t="s">
        <v>305</v>
      </c>
      <c r="D108" s="30">
        <v>610</v>
      </c>
      <c r="E108" s="31" t="s">
        <v>118</v>
      </c>
      <c r="F108" s="29">
        <f>'приложение 4'!G613</f>
        <v>72600</v>
      </c>
      <c r="G108" s="29">
        <f>'приложение 4'!H613</f>
        <v>72600</v>
      </c>
      <c r="H108" s="29">
        <f>'приложение 4'!I613</f>
        <v>72600</v>
      </c>
    </row>
    <row r="109" spans="1:8" ht="66" customHeight="1">
      <c r="A109" s="146">
        <v>76</v>
      </c>
      <c r="B109" s="133" t="s">
        <v>427</v>
      </c>
      <c r="C109" s="131" t="s">
        <v>425</v>
      </c>
      <c r="D109" s="132">
        <v>610</v>
      </c>
      <c r="E109" s="131" t="s">
        <v>118</v>
      </c>
      <c r="F109" s="29">
        <f>'приложение 4'!G614</f>
        <v>222000</v>
      </c>
      <c r="G109" s="29">
        <f>'приложение 4'!H614</f>
        <v>22000</v>
      </c>
      <c r="H109" s="29">
        <f>'приложение 4'!I614</f>
        <v>22000</v>
      </c>
    </row>
    <row r="110" spans="1:8" ht="45">
      <c r="A110" s="146">
        <v>77</v>
      </c>
      <c r="B110" s="57" t="s">
        <v>309</v>
      </c>
      <c r="C110" s="47" t="s">
        <v>242</v>
      </c>
      <c r="D110" s="30"/>
      <c r="E110" s="31"/>
      <c r="F110" s="42">
        <f t="shared" ref="F110:H110" si="15">F111</f>
        <v>70000</v>
      </c>
      <c r="G110" s="42">
        <f t="shared" si="15"/>
        <v>70000</v>
      </c>
      <c r="H110" s="42">
        <f t="shared" si="15"/>
        <v>70000</v>
      </c>
    </row>
    <row r="111" spans="1:8" ht="105">
      <c r="A111" s="146">
        <v>78</v>
      </c>
      <c r="B111" s="55" t="s">
        <v>347</v>
      </c>
      <c r="C111" s="31" t="s">
        <v>306</v>
      </c>
      <c r="D111" s="30">
        <v>610</v>
      </c>
      <c r="E111" s="31" t="s">
        <v>118</v>
      </c>
      <c r="F111" s="29">
        <f>'приложение 4'!G620</f>
        <v>70000</v>
      </c>
      <c r="G111" s="29">
        <f>'приложение 4'!H620</f>
        <v>70000</v>
      </c>
      <c r="H111" s="29">
        <f>'приложение 4'!I620</f>
        <v>70000</v>
      </c>
    </row>
    <row r="112" spans="1:8" ht="45" customHeight="1">
      <c r="A112" s="146">
        <v>79</v>
      </c>
      <c r="B112" s="79" t="s">
        <v>221</v>
      </c>
      <c r="C112" s="50" t="s">
        <v>168</v>
      </c>
      <c r="D112" s="49"/>
      <c r="E112" s="50"/>
      <c r="F112" s="52">
        <f t="shared" ref="F112:H112" si="16">F113+F117</f>
        <v>177377674.11000001</v>
      </c>
      <c r="G112" s="52">
        <f t="shared" si="16"/>
        <v>158681432.75999999</v>
      </c>
      <c r="H112" s="52">
        <f t="shared" si="16"/>
        <v>158681432.75999999</v>
      </c>
    </row>
    <row r="113" spans="1:8" ht="60">
      <c r="A113" s="146">
        <v>80</v>
      </c>
      <c r="B113" s="195" t="s">
        <v>27</v>
      </c>
      <c r="C113" s="47" t="s">
        <v>174</v>
      </c>
      <c r="D113" s="49"/>
      <c r="E113" s="50"/>
      <c r="F113" s="42">
        <f t="shared" ref="F113:G113" si="17">F114+F115+F116</f>
        <v>157058587.36000001</v>
      </c>
      <c r="G113" s="42">
        <f t="shared" si="17"/>
        <v>139887890.00999999</v>
      </c>
      <c r="H113" s="42">
        <f t="shared" ref="H113" si="18">H114+H115+H116</f>
        <v>139887890.00999999</v>
      </c>
    </row>
    <row r="114" spans="1:8" ht="120">
      <c r="A114" s="146">
        <v>81</v>
      </c>
      <c r="B114" s="83" t="s">
        <v>399</v>
      </c>
      <c r="C114" s="30" t="str">
        <f>'приложение 4'!E104</f>
        <v>0510076010</v>
      </c>
      <c r="D114" s="30">
        <v>510</v>
      </c>
      <c r="E114" s="31" t="s">
        <v>130</v>
      </c>
      <c r="F114" s="29">
        <f>'приложение 4'!G106</f>
        <v>15291000</v>
      </c>
      <c r="G114" s="29">
        <f>'приложение 4'!H106</f>
        <v>12226600</v>
      </c>
      <c r="H114" s="29">
        <f>'приложение 4'!I106</f>
        <v>12226600</v>
      </c>
    </row>
    <row r="115" spans="1:8" ht="90">
      <c r="A115" s="146">
        <v>82</v>
      </c>
      <c r="B115" s="60" t="s">
        <v>370</v>
      </c>
      <c r="C115" s="30" t="str">
        <f>'приложение 4'!E107</f>
        <v>0510050010</v>
      </c>
      <c r="D115" s="30">
        <v>510</v>
      </c>
      <c r="E115" s="31" t="s">
        <v>130</v>
      </c>
      <c r="F115" s="29">
        <f>'приложение 4'!G109</f>
        <v>19630997.68</v>
      </c>
      <c r="G115" s="29">
        <f>'приложение 4'!H109</f>
        <v>21219688.27</v>
      </c>
      <c r="H115" s="29">
        <f>'приложение 4'!I109</f>
        <v>21219688.27</v>
      </c>
    </row>
    <row r="116" spans="1:8" ht="105">
      <c r="A116" s="146">
        <v>83</v>
      </c>
      <c r="B116" s="83" t="s">
        <v>400</v>
      </c>
      <c r="C116" s="30" t="str">
        <f>'приложение 4'!E113</f>
        <v>0510050030</v>
      </c>
      <c r="D116" s="30">
        <v>540</v>
      </c>
      <c r="E116" s="31" t="s">
        <v>131</v>
      </c>
      <c r="F116" s="29">
        <f>'приложение 4'!G115</f>
        <v>122136589.68000001</v>
      </c>
      <c r="G116" s="29">
        <f>'приложение 4'!H115</f>
        <v>106441601.73999999</v>
      </c>
      <c r="H116" s="29">
        <f>'приложение 4'!I115</f>
        <v>106441601.73999999</v>
      </c>
    </row>
    <row r="117" spans="1:8" ht="30">
      <c r="A117" s="146">
        <v>84</v>
      </c>
      <c r="B117" s="93" t="s">
        <v>14</v>
      </c>
      <c r="C117" s="47" t="s">
        <v>169</v>
      </c>
      <c r="D117" s="49"/>
      <c r="E117" s="50"/>
      <c r="F117" s="42">
        <f>F118+F119+F120+F121+F122</f>
        <v>20319086.75</v>
      </c>
      <c r="G117" s="42">
        <f t="shared" ref="G117:H117" si="19">G118+G119+G120+G121+G122</f>
        <v>18793542.75</v>
      </c>
      <c r="H117" s="42">
        <f t="shared" si="19"/>
        <v>18793542.75</v>
      </c>
    </row>
    <row r="118" spans="1:8">
      <c r="A118" s="355">
        <v>85</v>
      </c>
      <c r="B118" s="385" t="s">
        <v>366</v>
      </c>
      <c r="C118" s="355" t="str">
        <f>'приложение 4'!E22</f>
        <v>0520000210</v>
      </c>
      <c r="D118" s="30">
        <v>120</v>
      </c>
      <c r="E118" s="31" t="s">
        <v>92</v>
      </c>
      <c r="F118" s="29">
        <f>'приложение 4'!G24</f>
        <v>15624859.35</v>
      </c>
      <c r="G118" s="29">
        <f>'приложение 4'!H24</f>
        <v>14675701.35</v>
      </c>
      <c r="H118" s="29">
        <f>'приложение 4'!I24</f>
        <v>14675701.35</v>
      </c>
    </row>
    <row r="119" spans="1:8">
      <c r="A119" s="355"/>
      <c r="B119" s="385"/>
      <c r="C119" s="355"/>
      <c r="D119" s="30">
        <v>240</v>
      </c>
      <c r="E119" s="31" t="s">
        <v>92</v>
      </c>
      <c r="F119" s="29">
        <f>'приложение 4'!G26</f>
        <v>1894500</v>
      </c>
      <c r="G119" s="29">
        <f>'приложение 4'!H26</f>
        <v>1634500</v>
      </c>
      <c r="H119" s="29">
        <f>'приложение 4'!I26</f>
        <v>1634500</v>
      </c>
    </row>
    <row r="120" spans="1:8">
      <c r="A120" s="355"/>
      <c r="B120" s="385"/>
      <c r="C120" s="355"/>
      <c r="D120" s="132">
        <v>830</v>
      </c>
      <c r="E120" s="131" t="s">
        <v>92</v>
      </c>
      <c r="F120" s="29">
        <f>'приложение 4'!G28</f>
        <v>2500</v>
      </c>
      <c r="G120" s="29">
        <f>'приложение 4'!H28</f>
        <v>2500</v>
      </c>
      <c r="H120" s="29">
        <f>'приложение 4'!I28</f>
        <v>2500</v>
      </c>
    </row>
    <row r="121" spans="1:8" ht="36" customHeight="1">
      <c r="A121" s="355"/>
      <c r="B121" s="385"/>
      <c r="C121" s="355"/>
      <c r="D121" s="30">
        <v>850</v>
      </c>
      <c r="E121" s="31" t="s">
        <v>92</v>
      </c>
      <c r="F121" s="29">
        <f>'приложение 4'!G28</f>
        <v>2500</v>
      </c>
      <c r="G121" s="29">
        <f>'приложение 4'!H28</f>
        <v>2500</v>
      </c>
      <c r="H121" s="29">
        <f>'приложение 4'!I28</f>
        <v>2500</v>
      </c>
    </row>
    <row r="122" spans="1:8" ht="75">
      <c r="A122" s="146">
        <v>86</v>
      </c>
      <c r="B122" s="55" t="s">
        <v>367</v>
      </c>
      <c r="C122" s="31" t="str">
        <f>'приложение 4'!E30</f>
        <v>0520000220</v>
      </c>
      <c r="D122" s="30">
        <v>120</v>
      </c>
      <c r="E122" s="31" t="s">
        <v>92</v>
      </c>
      <c r="F122" s="29">
        <f>'приложение 4'!G32</f>
        <v>2794727.4</v>
      </c>
      <c r="G122" s="29">
        <f>'приложение 4'!H32</f>
        <v>2478341.4</v>
      </c>
      <c r="H122" s="29">
        <f>'приложение 4'!I32</f>
        <v>2478341.4</v>
      </c>
    </row>
    <row r="123" spans="1:8" ht="28.5">
      <c r="A123" s="146">
        <v>87</v>
      </c>
      <c r="B123" s="79" t="s">
        <v>222</v>
      </c>
      <c r="C123" s="50" t="s">
        <v>178</v>
      </c>
      <c r="D123" s="49"/>
      <c r="E123" s="50"/>
      <c r="F123" s="52">
        <f>F124+F130+F134+F139</f>
        <v>6907001</v>
      </c>
      <c r="G123" s="52">
        <f>G124+G130+G134+G139</f>
        <v>2507000</v>
      </c>
      <c r="H123" s="52">
        <f>H124+H130+H134+H139</f>
        <v>2507000</v>
      </c>
    </row>
    <row r="124" spans="1:8" ht="45">
      <c r="A124" s="146">
        <v>88</v>
      </c>
      <c r="B124" s="190" t="s">
        <v>382</v>
      </c>
      <c r="C124" s="47" t="s">
        <v>179</v>
      </c>
      <c r="D124" s="49"/>
      <c r="E124" s="50"/>
      <c r="F124" s="42">
        <f>F125+F128+F129</f>
        <v>1087100</v>
      </c>
      <c r="G124" s="42">
        <f t="shared" ref="G124:H124" si="20">G125+G128</f>
        <v>600000</v>
      </c>
      <c r="H124" s="42">
        <f t="shared" si="20"/>
        <v>600000</v>
      </c>
    </row>
    <row r="125" spans="1:8" ht="27.75" customHeight="1">
      <c r="A125" s="355">
        <v>89</v>
      </c>
      <c r="B125" s="368" t="s">
        <v>364</v>
      </c>
      <c r="C125" s="355" t="s">
        <v>283</v>
      </c>
      <c r="D125" s="355">
        <v>240</v>
      </c>
      <c r="E125" s="346" t="s">
        <v>94</v>
      </c>
      <c r="F125" s="395">
        <f>'приложение 4'!G431</f>
        <v>700000</v>
      </c>
      <c r="G125" s="395">
        <f>'приложение 4'!H431</f>
        <v>300000</v>
      </c>
      <c r="H125" s="395">
        <f>'приложение 4'!I431</f>
        <v>300000</v>
      </c>
    </row>
    <row r="126" spans="1:8" ht="29.25" customHeight="1">
      <c r="A126" s="355"/>
      <c r="B126" s="368"/>
      <c r="C126" s="355"/>
      <c r="D126" s="355"/>
      <c r="E126" s="346"/>
      <c r="F126" s="396"/>
      <c r="G126" s="396"/>
      <c r="H126" s="396"/>
    </row>
    <row r="127" spans="1:8" ht="26.25" customHeight="1">
      <c r="A127" s="355"/>
      <c r="B127" s="368"/>
      <c r="C127" s="355"/>
      <c r="D127" s="355"/>
      <c r="E127" s="346"/>
      <c r="F127" s="396"/>
      <c r="G127" s="396"/>
      <c r="H127" s="396"/>
    </row>
    <row r="128" spans="1:8" ht="60">
      <c r="A128" s="146">
        <v>90</v>
      </c>
      <c r="B128" s="68" t="s">
        <v>365</v>
      </c>
      <c r="C128" s="31" t="s">
        <v>284</v>
      </c>
      <c r="D128" s="30">
        <v>240</v>
      </c>
      <c r="E128" s="31" t="s">
        <v>94</v>
      </c>
      <c r="F128" s="51">
        <f>'приложение 4'!G434</f>
        <v>300000</v>
      </c>
      <c r="G128" s="51">
        <f>'приложение 4'!H434</f>
        <v>300000</v>
      </c>
      <c r="H128" s="51">
        <f>'приложение 4'!I434</f>
        <v>300000</v>
      </c>
    </row>
    <row r="129" spans="1:8" ht="62.25" customHeight="1">
      <c r="A129" s="328">
        <v>91</v>
      </c>
      <c r="B129" s="329" t="str">
        <f>'приложение 4'!B118</f>
        <v>Содействие развитию налогового потенциала в рамках подпрограммы "Эффективное управление муниципальной собственностью и земельными ресурсами на территории Мотыгинского района" муниципальной программы " Содействие развитию местного самоуправления"</v>
      </c>
      <c r="C129" s="333" t="str">
        <f>'приложение 4'!E118</f>
        <v>0610077450</v>
      </c>
      <c r="D129" s="328">
        <f>'приложение 4'!F120</f>
        <v>540</v>
      </c>
      <c r="E129" s="333" t="str">
        <f>'приложение 4'!D120</f>
        <v>1403</v>
      </c>
      <c r="F129" s="51">
        <f>'приложение 4'!G120</f>
        <v>87100</v>
      </c>
      <c r="G129" s="51">
        <f>'приложение 4'!H120</f>
        <v>0</v>
      </c>
      <c r="H129" s="51">
        <f>'приложение 4'!I120</f>
        <v>0</v>
      </c>
    </row>
    <row r="130" spans="1:8">
      <c r="A130" s="355">
        <v>92</v>
      </c>
      <c r="B130" s="356" t="s">
        <v>291</v>
      </c>
      <c r="C130" s="384" t="s">
        <v>193</v>
      </c>
      <c r="D130" s="389"/>
      <c r="E130" s="389"/>
      <c r="F130" s="397">
        <f>F133</f>
        <v>4296261</v>
      </c>
      <c r="G130" s="397">
        <f t="shared" ref="G130:H130" si="21">G133</f>
        <v>0</v>
      </c>
      <c r="H130" s="397">
        <f t="shared" si="21"/>
        <v>0</v>
      </c>
    </row>
    <row r="131" spans="1:8">
      <c r="A131" s="355"/>
      <c r="B131" s="356"/>
      <c r="C131" s="384"/>
      <c r="D131" s="389"/>
      <c r="E131" s="389"/>
      <c r="F131" s="389"/>
      <c r="G131" s="389"/>
      <c r="H131" s="389"/>
    </row>
    <row r="132" spans="1:8">
      <c r="A132" s="355"/>
      <c r="B132" s="356"/>
      <c r="C132" s="384"/>
      <c r="D132" s="389"/>
      <c r="E132" s="389"/>
      <c r="F132" s="389"/>
      <c r="G132" s="389"/>
      <c r="H132" s="389"/>
    </row>
    <row r="133" spans="1:8" ht="65.25" customHeight="1">
      <c r="A133" s="199">
        <v>93</v>
      </c>
      <c r="B133" s="247" t="s">
        <v>569</v>
      </c>
      <c r="C133" s="251" t="s">
        <v>548</v>
      </c>
      <c r="D133" s="199">
        <v>540</v>
      </c>
      <c r="E133" s="200" t="s">
        <v>131</v>
      </c>
      <c r="F133" s="29">
        <f>'приложение 4'!G123</f>
        <v>4296261</v>
      </c>
      <c r="G133" s="29">
        <f>'приложение 4'!H123</f>
        <v>0</v>
      </c>
      <c r="H133" s="29">
        <f>'приложение 4'!I123</f>
        <v>0</v>
      </c>
    </row>
    <row r="134" spans="1:8" ht="30">
      <c r="A134" s="146">
        <v>94</v>
      </c>
      <c r="B134" s="57" t="s">
        <v>14</v>
      </c>
      <c r="C134" s="50" t="s">
        <v>383</v>
      </c>
      <c r="D134" s="30"/>
      <c r="E134" s="31"/>
      <c r="F134" s="29">
        <f t="shared" ref="F134:H134" si="22">F135+F136+F137+F138</f>
        <v>1323640</v>
      </c>
      <c r="G134" s="29">
        <f t="shared" si="22"/>
        <v>1907000</v>
      </c>
      <c r="H134" s="29">
        <f t="shared" si="22"/>
        <v>1907000</v>
      </c>
    </row>
    <row r="135" spans="1:8" ht="81" customHeight="1">
      <c r="A135" s="146">
        <v>95</v>
      </c>
      <c r="B135" s="287" t="s">
        <v>388</v>
      </c>
      <c r="C135" s="121" t="str">
        <f>'приложение 4'!E321</f>
        <v>0630001110</v>
      </c>
      <c r="D135" s="30">
        <v>310</v>
      </c>
      <c r="E135" s="31" t="s">
        <v>126</v>
      </c>
      <c r="F135" s="29">
        <f>'приложение 4'!G323</f>
        <v>1000000</v>
      </c>
      <c r="G135" s="29">
        <f>'приложение 4'!H323</f>
        <v>1300000</v>
      </c>
      <c r="H135" s="29">
        <f>'приложение 4'!I323</f>
        <v>1300000</v>
      </c>
    </row>
    <row r="136" spans="1:8" ht="78" customHeight="1">
      <c r="A136" s="146">
        <v>96</v>
      </c>
      <c r="B136" s="122" t="s">
        <v>395</v>
      </c>
      <c r="C136" s="121" t="str">
        <f>'приложение 4'!E351</f>
        <v>0630080010</v>
      </c>
      <c r="D136" s="30">
        <v>310</v>
      </c>
      <c r="E136" s="31" t="s">
        <v>128</v>
      </c>
      <c r="F136" s="29">
        <f>'приложение 4'!G353</f>
        <v>225000</v>
      </c>
      <c r="G136" s="29">
        <f>'приложение 4'!H353</f>
        <v>500000</v>
      </c>
      <c r="H136" s="29">
        <f>'приложение 4'!I353</f>
        <v>500000</v>
      </c>
    </row>
    <row r="137" spans="1:8" ht="27" customHeight="1">
      <c r="A137" s="355">
        <v>97</v>
      </c>
      <c r="B137" s="399" t="s">
        <v>392</v>
      </c>
      <c r="C137" s="346" t="str">
        <f>'приложение 4'!E354</f>
        <v>0630080020</v>
      </c>
      <c r="D137" s="30">
        <v>320</v>
      </c>
      <c r="E137" s="31" t="s">
        <v>128</v>
      </c>
      <c r="F137" s="29">
        <f>'приложение 4'!G356</f>
        <v>92000</v>
      </c>
      <c r="G137" s="29">
        <f>'приложение 4'!H356</f>
        <v>92000</v>
      </c>
      <c r="H137" s="29">
        <f>'приложение 4'!I356</f>
        <v>92000</v>
      </c>
    </row>
    <row r="138" spans="1:8" ht="30" customHeight="1">
      <c r="A138" s="355"/>
      <c r="B138" s="399"/>
      <c r="C138" s="367"/>
      <c r="D138" s="30">
        <v>240</v>
      </c>
      <c r="E138" s="31" t="s">
        <v>128</v>
      </c>
      <c r="F138" s="29">
        <f>'приложение 4'!G358</f>
        <v>6640</v>
      </c>
      <c r="G138" s="29">
        <f>'приложение 4'!H358</f>
        <v>15000</v>
      </c>
      <c r="H138" s="29">
        <f>'приложение 4'!I358</f>
        <v>15000</v>
      </c>
    </row>
    <row r="139" spans="1:8">
      <c r="A139" s="146">
        <v>98</v>
      </c>
      <c r="B139" s="93" t="s">
        <v>39</v>
      </c>
      <c r="C139" s="47" t="s">
        <v>293</v>
      </c>
      <c r="D139" s="49"/>
      <c r="E139" s="50"/>
      <c r="F139" s="42">
        <f t="shared" ref="F139:H139" si="23">F140</f>
        <v>200000</v>
      </c>
      <c r="G139" s="42">
        <f t="shared" si="23"/>
        <v>0</v>
      </c>
      <c r="H139" s="42">
        <f t="shared" si="23"/>
        <v>0</v>
      </c>
    </row>
    <row r="140" spans="1:8">
      <c r="A140" s="355">
        <v>99</v>
      </c>
      <c r="B140" s="368" t="s">
        <v>286</v>
      </c>
      <c r="C140" s="355" t="s">
        <v>262</v>
      </c>
      <c r="D140" s="355">
        <v>540</v>
      </c>
      <c r="E140" s="346" t="s">
        <v>103</v>
      </c>
      <c r="F140" s="394">
        <f>'приложение 4'!G59</f>
        <v>200000</v>
      </c>
      <c r="G140" s="394">
        <f>'приложение 4'!H59</f>
        <v>0</v>
      </c>
      <c r="H140" s="394">
        <f>'приложение 4'!I59</f>
        <v>0</v>
      </c>
    </row>
    <row r="141" spans="1:8">
      <c r="A141" s="355"/>
      <c r="B141" s="368"/>
      <c r="C141" s="355"/>
      <c r="D141" s="355"/>
      <c r="E141" s="346"/>
      <c r="F141" s="355"/>
      <c r="G141" s="355"/>
      <c r="H141" s="355"/>
    </row>
    <row r="142" spans="1:8">
      <c r="A142" s="355"/>
      <c r="B142" s="368"/>
      <c r="C142" s="355"/>
      <c r="D142" s="355"/>
      <c r="E142" s="346"/>
      <c r="F142" s="355"/>
      <c r="G142" s="355"/>
      <c r="H142" s="355"/>
    </row>
    <row r="143" spans="1:8" ht="57">
      <c r="A143" s="146">
        <v>100</v>
      </c>
      <c r="B143" s="79" t="s">
        <v>223</v>
      </c>
      <c r="C143" s="50" t="s">
        <v>171</v>
      </c>
      <c r="D143" s="30"/>
      <c r="E143" s="31"/>
      <c r="F143" s="52">
        <f>F144+F146+F147+F148</f>
        <v>77727820</v>
      </c>
      <c r="G143" s="52">
        <f>G144+G146+G147+G148</f>
        <v>72660000</v>
      </c>
      <c r="H143" s="52">
        <f>H144+H146+H147+H148</f>
        <v>72660000</v>
      </c>
    </row>
    <row r="144" spans="1:8">
      <c r="A144" s="146">
        <v>101</v>
      </c>
      <c r="B144" s="93" t="s">
        <v>310</v>
      </c>
      <c r="C144" s="47" t="s">
        <v>172</v>
      </c>
      <c r="D144" s="49"/>
      <c r="E144" s="50"/>
      <c r="F144" s="42">
        <f>F145</f>
        <v>976920</v>
      </c>
      <c r="G144" s="42">
        <f t="shared" ref="G144:H144" si="24">G145</f>
        <v>0</v>
      </c>
      <c r="H144" s="42">
        <f t="shared" si="24"/>
        <v>0</v>
      </c>
    </row>
    <row r="145" spans="1:8" ht="60">
      <c r="A145" s="205">
        <v>102</v>
      </c>
      <c r="B145" s="213" t="s">
        <v>490</v>
      </c>
      <c r="C145" s="210" t="str">
        <f>'приложение 4'!E70</f>
        <v>0710085010</v>
      </c>
      <c r="D145" s="205">
        <v>540</v>
      </c>
      <c r="E145" s="210" t="s">
        <v>112</v>
      </c>
      <c r="F145" s="29">
        <f>'приложение 4'!G71</f>
        <v>976920</v>
      </c>
      <c r="G145" s="29">
        <f>'приложение 4'!H71</f>
        <v>0</v>
      </c>
      <c r="H145" s="29"/>
    </row>
    <row r="146" spans="1:8" ht="30">
      <c r="A146" s="146">
        <v>103</v>
      </c>
      <c r="B146" s="93" t="s">
        <v>311</v>
      </c>
      <c r="C146" s="47" t="s">
        <v>243</v>
      </c>
      <c r="D146" s="49"/>
      <c r="E146" s="50"/>
      <c r="F146" s="42">
        <v>0</v>
      </c>
      <c r="G146" s="42">
        <v>0</v>
      </c>
      <c r="H146" s="42">
        <v>0</v>
      </c>
    </row>
    <row r="147" spans="1:8" ht="30">
      <c r="A147" s="146">
        <v>104</v>
      </c>
      <c r="B147" s="178" t="s">
        <v>138</v>
      </c>
      <c r="C147" s="47" t="s">
        <v>173</v>
      </c>
      <c r="D147" s="49"/>
      <c r="E147" s="50"/>
      <c r="F147" s="42">
        <v>0</v>
      </c>
      <c r="G147" s="42">
        <v>0</v>
      </c>
      <c r="H147" s="42">
        <v>0</v>
      </c>
    </row>
    <row r="148" spans="1:8">
      <c r="A148" s="146">
        <v>105</v>
      </c>
      <c r="B148" s="76" t="s">
        <v>139</v>
      </c>
      <c r="C148" s="47" t="s">
        <v>181</v>
      </c>
      <c r="D148" s="49"/>
      <c r="E148" s="50"/>
      <c r="F148" s="42">
        <f>F149+F150</f>
        <v>76750900</v>
      </c>
      <c r="G148" s="42">
        <f t="shared" ref="G148:H148" si="25">G149+G150</f>
        <v>72660000</v>
      </c>
      <c r="H148" s="42">
        <f t="shared" si="25"/>
        <v>72660000</v>
      </c>
    </row>
    <row r="149" spans="1:8" ht="45">
      <c r="A149" s="146">
        <v>106</v>
      </c>
      <c r="B149" s="62" t="s">
        <v>287</v>
      </c>
      <c r="C149" s="30" t="str">
        <f>'приложение 4'!E280</f>
        <v>0790075770</v>
      </c>
      <c r="D149" s="30">
        <v>810</v>
      </c>
      <c r="E149" s="31" t="s">
        <v>112</v>
      </c>
      <c r="F149" s="29">
        <f>'приложение 4'!G282</f>
        <v>28196600</v>
      </c>
      <c r="G149" s="29">
        <f>'приложение 4'!H282</f>
        <v>26739500</v>
      </c>
      <c r="H149" s="29">
        <f>'приложение 4'!I282</f>
        <v>26739500</v>
      </c>
    </row>
    <row r="150" spans="1:8" ht="30">
      <c r="A150" s="146">
        <v>107</v>
      </c>
      <c r="B150" s="62" t="s">
        <v>270</v>
      </c>
      <c r="C150" s="30" t="str">
        <f>'приложение 4'!E283</f>
        <v>0790075700</v>
      </c>
      <c r="D150" s="30">
        <v>810</v>
      </c>
      <c r="E150" s="31" t="s">
        <v>112</v>
      </c>
      <c r="F150" s="29">
        <f>'приложение 4'!G285</f>
        <v>48554300</v>
      </c>
      <c r="G150" s="29">
        <f>'приложение 4'!H285</f>
        <v>45920500</v>
      </c>
      <c r="H150" s="29">
        <f>'приложение 4'!I285</f>
        <v>45920500</v>
      </c>
    </row>
    <row r="151" spans="1:8" ht="57">
      <c r="A151" s="146">
        <v>108</v>
      </c>
      <c r="B151" s="72" t="s">
        <v>224</v>
      </c>
      <c r="C151" s="50" t="s">
        <v>187</v>
      </c>
      <c r="D151" s="30"/>
      <c r="E151" s="31"/>
      <c r="F151" s="52">
        <f>F152+F160</f>
        <v>10855584.720000001</v>
      </c>
      <c r="G151" s="52">
        <f>G152+G160</f>
        <v>8967481.1600000001</v>
      </c>
      <c r="H151" s="52">
        <f>H152+H160</f>
        <v>8922481.1600000001</v>
      </c>
    </row>
    <row r="152" spans="1:8" ht="30">
      <c r="A152" s="146">
        <v>109</v>
      </c>
      <c r="B152" s="73" t="s">
        <v>294</v>
      </c>
      <c r="C152" s="47" t="s">
        <v>188</v>
      </c>
      <c r="D152" s="49"/>
      <c r="E152" s="50"/>
      <c r="F152" s="42">
        <f>F153+F154+F155+F158+F156+F157+F159</f>
        <v>10745584.720000001</v>
      </c>
      <c r="G152" s="42">
        <f t="shared" ref="G152:H152" si="26">G153+G154+G155+G158+G156+G157+G159</f>
        <v>8857481.1600000001</v>
      </c>
      <c r="H152" s="42">
        <f t="shared" si="26"/>
        <v>8857481.1600000001</v>
      </c>
    </row>
    <row r="153" spans="1:8">
      <c r="A153" s="355">
        <v>110</v>
      </c>
      <c r="B153" s="400" t="s">
        <v>330</v>
      </c>
      <c r="C153" s="355" t="str">
        <f>'приложение 4'!E372</f>
        <v>0810000610</v>
      </c>
      <c r="D153" s="30">
        <v>110</v>
      </c>
      <c r="E153" s="120" t="s">
        <v>379</v>
      </c>
      <c r="F153" s="29">
        <f>'приложение 4'!G373</f>
        <v>6698990.1600000001</v>
      </c>
      <c r="G153" s="29">
        <f>'приложение 4'!H373</f>
        <v>6002941.1600000001</v>
      </c>
      <c r="H153" s="29">
        <f>'приложение 4'!I373</f>
        <v>6002941.1600000001</v>
      </c>
    </row>
    <row r="154" spans="1:8" ht="19.5" customHeight="1">
      <c r="A154" s="355"/>
      <c r="B154" s="400"/>
      <c r="C154" s="355"/>
      <c r="D154" s="30">
        <v>240</v>
      </c>
      <c r="E154" s="120" t="s">
        <v>379</v>
      </c>
      <c r="F154" s="29">
        <f>'приложение 4'!G375</f>
        <v>860240</v>
      </c>
      <c r="G154" s="29">
        <f>'приложение 4'!H375</f>
        <v>862240</v>
      </c>
      <c r="H154" s="29">
        <f>'приложение 4'!I375</f>
        <v>862240</v>
      </c>
    </row>
    <row r="155" spans="1:8" ht="45.75" customHeight="1">
      <c r="A155" s="355"/>
      <c r="B155" s="400"/>
      <c r="C155" s="355"/>
      <c r="D155" s="30">
        <v>850</v>
      </c>
      <c r="E155" s="120" t="s">
        <v>379</v>
      </c>
      <c r="F155" s="29">
        <f>'приложение 4'!G377</f>
        <v>500</v>
      </c>
      <c r="G155" s="29">
        <f>'приложение 4'!H377</f>
        <v>500</v>
      </c>
      <c r="H155" s="29">
        <f>'приложение 4'!I377</f>
        <v>500</v>
      </c>
    </row>
    <row r="156" spans="1:8" ht="45">
      <c r="A156" s="146">
        <v>111</v>
      </c>
      <c r="B156" s="143" t="s">
        <v>441</v>
      </c>
      <c r="C156" s="34" t="s">
        <v>439</v>
      </c>
      <c r="D156" s="144">
        <v>240</v>
      </c>
      <c r="E156" s="34" t="s">
        <v>379</v>
      </c>
      <c r="F156" s="134">
        <f>'приложение 4'!G199</f>
        <v>189500</v>
      </c>
      <c r="G156" s="134">
        <f>'приложение 4'!H199</f>
        <v>190000</v>
      </c>
      <c r="H156" s="134">
        <f>'приложение 4'!I199</f>
        <v>190000</v>
      </c>
    </row>
    <row r="157" spans="1:8" ht="79.5" customHeight="1">
      <c r="A157" s="246">
        <v>112</v>
      </c>
      <c r="B157" s="143" t="s">
        <v>567</v>
      </c>
      <c r="C157" s="34" t="s">
        <v>542</v>
      </c>
      <c r="D157" s="144">
        <v>540</v>
      </c>
      <c r="E157" s="34" t="s">
        <v>379</v>
      </c>
      <c r="F157" s="134">
        <f>'приложение 4'!G50</f>
        <v>2702800</v>
      </c>
      <c r="G157" s="134">
        <f>'приложение 4'!H50</f>
        <v>1801800</v>
      </c>
      <c r="H157" s="134">
        <f>'приложение 4'!I50</f>
        <v>1801800</v>
      </c>
    </row>
    <row r="158" spans="1:8" ht="30">
      <c r="A158" s="146">
        <v>113</v>
      </c>
      <c r="B158" s="55" t="s">
        <v>289</v>
      </c>
      <c r="C158" s="31" t="s">
        <v>290</v>
      </c>
      <c r="D158" s="30">
        <v>240</v>
      </c>
      <c r="E158" s="120" t="s">
        <v>379</v>
      </c>
      <c r="F158" s="29">
        <f>'приложение 4'!G380</f>
        <v>10000</v>
      </c>
      <c r="G158" s="29">
        <f>'приложение 4'!H380</f>
        <v>0</v>
      </c>
      <c r="H158" s="29">
        <f>'приложение 4'!I380</f>
        <v>0</v>
      </c>
    </row>
    <row r="159" spans="1:8" ht="99" customHeight="1">
      <c r="A159" s="279">
        <v>114</v>
      </c>
      <c r="B159" s="283" t="s">
        <v>593</v>
      </c>
      <c r="C159" s="278" t="s">
        <v>592</v>
      </c>
      <c r="D159" s="279">
        <v>240</v>
      </c>
      <c r="E159" s="278" t="s">
        <v>379</v>
      </c>
      <c r="F159" s="29">
        <f>'приложение 4'!G202</f>
        <v>283554.56</v>
      </c>
      <c r="G159" s="29">
        <f>'приложение 4'!H202</f>
        <v>0</v>
      </c>
      <c r="H159" s="29">
        <f>'приложение 4'!I202</f>
        <v>0</v>
      </c>
    </row>
    <row r="160" spans="1:8" ht="30">
      <c r="A160" s="146">
        <v>115</v>
      </c>
      <c r="B160" s="57" t="s">
        <v>401</v>
      </c>
      <c r="C160" s="47" t="s">
        <v>295</v>
      </c>
      <c r="D160" s="59"/>
      <c r="E160" s="47"/>
      <c r="F160" s="42">
        <f t="shared" ref="F160:G160" si="27">F161+F162+F163</f>
        <v>110000</v>
      </c>
      <c r="G160" s="42">
        <f t="shared" si="27"/>
        <v>110000</v>
      </c>
      <c r="H160" s="42">
        <f t="shared" ref="H160" si="28">H161+H162+H163</f>
        <v>65000</v>
      </c>
    </row>
    <row r="161" spans="1:8" ht="34.5" customHeight="1">
      <c r="A161" s="146">
        <v>116</v>
      </c>
      <c r="B161" s="137" t="s">
        <v>436</v>
      </c>
      <c r="C161" s="40" t="s">
        <v>437</v>
      </c>
      <c r="D161" s="135">
        <v>240</v>
      </c>
      <c r="E161" s="136" t="s">
        <v>379</v>
      </c>
      <c r="F161" s="29">
        <f>'приложение 4'!G206</f>
        <v>50000</v>
      </c>
      <c r="G161" s="29">
        <f>'приложение 4'!H206</f>
        <v>50000</v>
      </c>
      <c r="H161" s="29">
        <f>'приложение 4'!I206</f>
        <v>5000</v>
      </c>
    </row>
    <row r="162" spans="1:8" ht="35.25" customHeight="1">
      <c r="A162" s="146">
        <v>117</v>
      </c>
      <c r="B162" s="139" t="s">
        <v>442</v>
      </c>
      <c r="C162" s="136" t="s">
        <v>438</v>
      </c>
      <c r="D162" s="135">
        <v>240</v>
      </c>
      <c r="E162" s="136" t="s">
        <v>379</v>
      </c>
      <c r="F162" s="29">
        <f>'приложение 4'!G209</f>
        <v>30000</v>
      </c>
      <c r="G162" s="29">
        <f>'приложение 4'!H209</f>
        <v>30000</v>
      </c>
      <c r="H162" s="29">
        <f>'приложение 4'!I209</f>
        <v>30000</v>
      </c>
    </row>
    <row r="163" spans="1:8" ht="22.5" customHeight="1">
      <c r="A163" s="146">
        <v>118</v>
      </c>
      <c r="B163" s="139" t="s">
        <v>443</v>
      </c>
      <c r="C163" s="136" t="s">
        <v>440</v>
      </c>
      <c r="D163" s="135">
        <v>240</v>
      </c>
      <c r="E163" s="136" t="s">
        <v>379</v>
      </c>
      <c r="F163" s="29">
        <f>'приложение 4'!G212</f>
        <v>30000</v>
      </c>
      <c r="G163" s="29">
        <f>'приложение 4'!H212</f>
        <v>30000</v>
      </c>
      <c r="H163" s="29">
        <f>'приложение 4'!I212</f>
        <v>30000</v>
      </c>
    </row>
    <row r="164" spans="1:8" ht="42.75">
      <c r="A164" s="146">
        <v>119</v>
      </c>
      <c r="B164" s="72" t="s">
        <v>380</v>
      </c>
      <c r="C164" s="50" t="s">
        <v>180</v>
      </c>
      <c r="D164" s="49"/>
      <c r="E164" s="50"/>
      <c r="F164" s="52">
        <f>F165+F169+F168</f>
        <v>2515900</v>
      </c>
      <c r="G164" s="52">
        <f>G165+G169+G168</f>
        <v>1861500</v>
      </c>
      <c r="H164" s="52">
        <f>H165+H169+H168</f>
        <v>1861500</v>
      </c>
    </row>
    <row r="165" spans="1:8" ht="28.5">
      <c r="A165" s="146">
        <v>120</v>
      </c>
      <c r="B165" s="72" t="s">
        <v>484</v>
      </c>
      <c r="C165" s="50" t="s">
        <v>381</v>
      </c>
      <c r="D165" s="49"/>
      <c r="E165" s="50"/>
      <c r="F165" s="52">
        <f>F166+F167</f>
        <v>1368800</v>
      </c>
      <c r="G165" s="52">
        <f t="shared" ref="G165:H165" si="29">G166+G167</f>
        <v>798800</v>
      </c>
      <c r="H165" s="52">
        <f t="shared" si="29"/>
        <v>798800</v>
      </c>
    </row>
    <row r="166" spans="1:8" ht="30">
      <c r="A166" s="146">
        <v>121</v>
      </c>
      <c r="B166" s="68" t="s">
        <v>48</v>
      </c>
      <c r="C166" s="31" t="str">
        <f>'приложение 4'!E254</f>
        <v>09100S6070</v>
      </c>
      <c r="D166" s="30">
        <v>810</v>
      </c>
      <c r="E166" s="31" t="s">
        <v>108</v>
      </c>
      <c r="F166" s="29">
        <f>'приложение 4'!G256</f>
        <v>768800</v>
      </c>
      <c r="G166" s="29">
        <f>'приложение 4'!H256</f>
        <v>768800</v>
      </c>
      <c r="H166" s="29">
        <f>'приложение 4'!I256</f>
        <v>768800</v>
      </c>
    </row>
    <row r="167" spans="1:8" ht="60">
      <c r="A167" s="194">
        <v>122</v>
      </c>
      <c r="B167" s="193" t="str">
        <f>'приложение 4'!B257</f>
        <v>Грантовая поддержка на начало ведения предпринимательской деятельности в рамках подпрограммы "Устойчивое развитие сельских территорий"  "Развитие малого, среднего предпринимательства и  сельского хозяйства в Мотыгинском районе"</v>
      </c>
      <c r="C167" s="191" t="str">
        <f>'приложение 4'!E259</f>
        <v>09100S6680</v>
      </c>
      <c r="D167" s="192">
        <f>'приложение 4'!F259</f>
        <v>810</v>
      </c>
      <c r="E167" s="191" t="s">
        <v>108</v>
      </c>
      <c r="F167" s="29">
        <f>'приложение 4'!G259</f>
        <v>600000</v>
      </c>
      <c r="G167" s="29">
        <f>'приложение 4'!H259</f>
        <v>30000</v>
      </c>
      <c r="H167" s="29">
        <f>'приложение 4'!I259</f>
        <v>30000</v>
      </c>
    </row>
    <row r="168" spans="1:8" ht="28.5">
      <c r="A168" s="201">
        <v>123</v>
      </c>
      <c r="B168" s="84" t="s">
        <v>485</v>
      </c>
      <c r="C168" s="50" t="s">
        <v>377</v>
      </c>
      <c r="D168" s="203"/>
      <c r="E168" s="202"/>
      <c r="F168" s="52">
        <v>0</v>
      </c>
      <c r="G168" s="52">
        <v>0</v>
      </c>
      <c r="H168" s="52">
        <v>0</v>
      </c>
    </row>
    <row r="169" spans="1:8" ht="28.5">
      <c r="A169" s="146">
        <v>124</v>
      </c>
      <c r="B169" s="72" t="s">
        <v>266</v>
      </c>
      <c r="C169" s="50" t="s">
        <v>486</v>
      </c>
      <c r="D169" s="49"/>
      <c r="E169" s="50"/>
      <c r="F169" s="52">
        <f>F170+F171</f>
        <v>1147100</v>
      </c>
      <c r="G169" s="52">
        <f t="shared" ref="G169:H169" si="30">G170+G171</f>
        <v>1062700</v>
      </c>
      <c r="H169" s="52">
        <f t="shared" si="30"/>
        <v>1062700</v>
      </c>
    </row>
    <row r="170" spans="1:8" ht="36" customHeight="1">
      <c r="A170" s="355">
        <v>124</v>
      </c>
      <c r="B170" s="387" t="s">
        <v>42</v>
      </c>
      <c r="C170" s="346" t="str">
        <f>'приложение 4'!E227</f>
        <v>0930075170</v>
      </c>
      <c r="D170" s="30">
        <v>120</v>
      </c>
      <c r="E170" s="31" t="s">
        <v>104</v>
      </c>
      <c r="F170" s="29">
        <f>'приложение 4'!G229</f>
        <v>1042738.06</v>
      </c>
      <c r="G170" s="29">
        <f>'приложение 4'!H229</f>
        <v>958338.06</v>
      </c>
      <c r="H170" s="29">
        <f>'приложение 4'!I229</f>
        <v>958338.06</v>
      </c>
    </row>
    <row r="171" spans="1:8" ht="37.5" customHeight="1">
      <c r="A171" s="355"/>
      <c r="B171" s="387"/>
      <c r="C171" s="346"/>
      <c r="D171" s="30">
        <v>240</v>
      </c>
      <c r="E171" s="31" t="s">
        <v>104</v>
      </c>
      <c r="F171" s="29">
        <f>'приложение 4'!G231</f>
        <v>104361.94</v>
      </c>
      <c r="G171" s="29">
        <f>'приложение 4'!H231</f>
        <v>104361.94</v>
      </c>
      <c r="H171" s="29">
        <f>'приложение 4'!I231</f>
        <v>104361.94</v>
      </c>
    </row>
    <row r="172" spans="1:8" ht="28.5">
      <c r="A172" s="146">
        <v>126</v>
      </c>
      <c r="B172" s="72" t="s">
        <v>225</v>
      </c>
      <c r="C172" s="49">
        <v>1000000000</v>
      </c>
      <c r="D172" s="49"/>
      <c r="E172" s="50"/>
      <c r="F172" s="52">
        <f>F173+F178+F179+F180+F184</f>
        <v>55760346.730000004</v>
      </c>
      <c r="G172" s="52">
        <f>G173+G178+G179+G180+G184</f>
        <v>56220352.159999996</v>
      </c>
      <c r="H172" s="52">
        <f>H173+H178+H179+H180+H184</f>
        <v>56230852.159999996</v>
      </c>
    </row>
    <row r="173" spans="1:8" ht="30">
      <c r="A173" s="146">
        <v>127</v>
      </c>
      <c r="B173" s="45" t="s">
        <v>312</v>
      </c>
      <c r="C173" s="59">
        <v>1010000000</v>
      </c>
      <c r="D173" s="49"/>
      <c r="E173" s="50"/>
      <c r="F173" s="42">
        <f>F174+F176+F175+F177</f>
        <v>30472143.210000001</v>
      </c>
      <c r="G173" s="42">
        <f t="shared" ref="G173:H173" si="31">G174+G176+G175+G177</f>
        <v>31124225.43</v>
      </c>
      <c r="H173" s="42">
        <f t="shared" si="31"/>
        <v>31124225.43</v>
      </c>
    </row>
    <row r="174" spans="1:8" ht="59.25" customHeight="1">
      <c r="A174" s="349">
        <v>128</v>
      </c>
      <c r="B174" s="357" t="s">
        <v>44</v>
      </c>
      <c r="C174" s="349">
        <f>'приложение 4'!E235</f>
        <v>1010023580</v>
      </c>
      <c r="D174" s="30">
        <v>810</v>
      </c>
      <c r="E174" s="31" t="s">
        <v>105</v>
      </c>
      <c r="F174" s="29">
        <f>'приложение 4'!G237</f>
        <v>24444127.780000001</v>
      </c>
      <c r="G174" s="29">
        <f>'приложение 4'!H237</f>
        <v>25096210</v>
      </c>
      <c r="H174" s="29">
        <f>'приложение 4'!I237</f>
        <v>25096210</v>
      </c>
    </row>
    <row r="175" spans="1:8" ht="36" customHeight="1">
      <c r="A175" s="350"/>
      <c r="B175" s="359"/>
      <c r="C175" s="350"/>
      <c r="D175" s="205">
        <v>240</v>
      </c>
      <c r="E175" s="210" t="s">
        <v>105</v>
      </c>
      <c r="F175" s="29">
        <f>'приложение 4'!G239</f>
        <v>15.43</v>
      </c>
      <c r="G175" s="29">
        <f>'приложение 4'!H239</f>
        <v>15.43</v>
      </c>
      <c r="H175" s="29">
        <f>'приложение 4'!I239</f>
        <v>15.43</v>
      </c>
    </row>
    <row r="176" spans="1:8" ht="47.25" customHeight="1">
      <c r="A176" s="349">
        <v>129</v>
      </c>
      <c r="B176" s="353" t="s">
        <v>267</v>
      </c>
      <c r="C176" s="349">
        <f>'приложение 4'!E242</f>
        <v>1010023590</v>
      </c>
      <c r="D176" s="30">
        <v>810</v>
      </c>
      <c r="E176" s="31" t="s">
        <v>105</v>
      </c>
      <c r="F176" s="29">
        <f>'приложение 4'!G242</f>
        <v>6027900</v>
      </c>
      <c r="G176" s="29">
        <f>'приложение 4'!H242</f>
        <v>6027900</v>
      </c>
      <c r="H176" s="29">
        <f>'приложение 4'!I242</f>
        <v>6027900</v>
      </c>
    </row>
    <row r="177" spans="1:8" ht="52.5" customHeight="1">
      <c r="A177" s="350"/>
      <c r="B177" s="354"/>
      <c r="C177" s="350"/>
      <c r="D177" s="205">
        <v>240</v>
      </c>
      <c r="E177" s="210" t="s">
        <v>105</v>
      </c>
      <c r="F177" s="29">
        <f>'приложение 4'!G244</f>
        <v>100</v>
      </c>
      <c r="G177" s="29">
        <f>'приложение 4'!H244</f>
        <v>100</v>
      </c>
      <c r="H177" s="29">
        <f>'приложение 4'!I244</f>
        <v>100</v>
      </c>
    </row>
    <row r="178" spans="1:8" ht="30">
      <c r="A178" s="146">
        <v>130</v>
      </c>
      <c r="B178" s="45" t="s">
        <v>140</v>
      </c>
      <c r="C178" s="59">
        <v>1020000000</v>
      </c>
      <c r="D178" s="49"/>
      <c r="E178" s="50"/>
      <c r="F178" s="42">
        <v>0</v>
      </c>
      <c r="G178" s="42">
        <v>0</v>
      </c>
      <c r="H178" s="42">
        <v>0</v>
      </c>
    </row>
    <row r="179" spans="1:8" ht="30">
      <c r="A179" s="146">
        <v>131</v>
      </c>
      <c r="B179" s="45" t="s">
        <v>296</v>
      </c>
      <c r="C179" s="59">
        <v>1030000000</v>
      </c>
      <c r="D179" s="59"/>
      <c r="E179" s="47"/>
      <c r="F179" s="42">
        <v>0</v>
      </c>
      <c r="G179" s="42">
        <v>0</v>
      </c>
      <c r="H179" s="42">
        <v>0</v>
      </c>
    </row>
    <row r="180" spans="1:8" ht="30">
      <c r="A180" s="146">
        <v>132</v>
      </c>
      <c r="B180" s="45" t="s">
        <v>313</v>
      </c>
      <c r="C180" s="59">
        <v>1040000000</v>
      </c>
      <c r="D180" s="59"/>
      <c r="E180" s="47"/>
      <c r="F180" s="42">
        <f>F181+F183</f>
        <v>25288203.520000003</v>
      </c>
      <c r="G180" s="42">
        <f t="shared" ref="G180:H180" si="32">G181+G183</f>
        <v>25096126.73</v>
      </c>
      <c r="H180" s="42">
        <f t="shared" si="32"/>
        <v>25106626.73</v>
      </c>
    </row>
    <row r="181" spans="1:8" ht="37.5" customHeight="1">
      <c r="A181" s="349">
        <v>133</v>
      </c>
      <c r="B181" s="365" t="s">
        <v>460</v>
      </c>
      <c r="C181" s="349">
        <f>'приложение 4'!E63</f>
        <v>1040082230</v>
      </c>
      <c r="D181" s="372">
        <v>540</v>
      </c>
      <c r="E181" s="374" t="s">
        <v>107</v>
      </c>
      <c r="F181" s="376">
        <f>'приложение 4'!G65</f>
        <v>23470389.690000001</v>
      </c>
      <c r="G181" s="376">
        <f>'приложение 4'!H65</f>
        <v>24066926.73</v>
      </c>
      <c r="H181" s="376">
        <f>'приложение 4'!I65</f>
        <v>24066926.73</v>
      </c>
    </row>
    <row r="182" spans="1:8" ht="43.5" customHeight="1">
      <c r="A182" s="350"/>
      <c r="B182" s="366"/>
      <c r="C182" s="350"/>
      <c r="D182" s="373"/>
      <c r="E182" s="375"/>
      <c r="F182" s="377"/>
      <c r="G182" s="377"/>
      <c r="H182" s="377"/>
    </row>
    <row r="183" spans="1:8" ht="69.75" customHeight="1">
      <c r="A183" s="168">
        <v>134</v>
      </c>
      <c r="B183" s="171" t="s">
        <v>459</v>
      </c>
      <c r="C183" s="170">
        <f>'приложение 4'!E248</f>
        <v>1040082240</v>
      </c>
      <c r="D183" s="169">
        <v>240</v>
      </c>
      <c r="E183" s="172" t="s">
        <v>107</v>
      </c>
      <c r="F183" s="167">
        <f>'приложение 4'!G250</f>
        <v>1817813.83</v>
      </c>
      <c r="G183" s="167">
        <f>'приложение 4'!H250</f>
        <v>1029200</v>
      </c>
      <c r="H183" s="167">
        <f>'приложение 4'!I250</f>
        <v>1039700</v>
      </c>
    </row>
    <row r="184" spans="1:8" ht="21.75" customHeight="1">
      <c r="A184" s="146">
        <v>134</v>
      </c>
      <c r="B184" s="57" t="s">
        <v>39</v>
      </c>
      <c r="C184" s="59"/>
      <c r="D184" s="59"/>
      <c r="E184" s="47"/>
      <c r="F184" s="42">
        <v>0</v>
      </c>
      <c r="G184" s="42">
        <v>0</v>
      </c>
      <c r="H184" s="42">
        <v>0</v>
      </c>
    </row>
    <row r="185" spans="1:8" ht="42.75">
      <c r="A185" s="146">
        <v>136</v>
      </c>
      <c r="B185" s="72" t="s">
        <v>226</v>
      </c>
      <c r="C185" s="49">
        <v>1100000000</v>
      </c>
      <c r="D185" s="30"/>
      <c r="E185" s="31"/>
      <c r="F185" s="52">
        <f>F186+F187+F189+F192+F196+F200</f>
        <v>13429935.719999999</v>
      </c>
      <c r="G185" s="52">
        <f>G186+G187+G189+G192+G196+G200</f>
        <v>11984086.300000001</v>
      </c>
      <c r="H185" s="52">
        <f>H186+H187+H189+H192+H196+H200</f>
        <v>11795911.439999999</v>
      </c>
    </row>
    <row r="186" spans="1:8" ht="30">
      <c r="A186" s="146">
        <v>137</v>
      </c>
      <c r="B186" s="45" t="s">
        <v>141</v>
      </c>
      <c r="C186" s="59">
        <v>1110000000</v>
      </c>
      <c r="D186" s="49"/>
      <c r="E186" s="50"/>
      <c r="F186" s="42">
        <v>0</v>
      </c>
      <c r="G186" s="42">
        <v>0</v>
      </c>
      <c r="H186" s="42">
        <v>0</v>
      </c>
    </row>
    <row r="187" spans="1:8" ht="30">
      <c r="A187" s="146">
        <v>138</v>
      </c>
      <c r="B187" s="45" t="s">
        <v>142</v>
      </c>
      <c r="C187" s="59">
        <v>1120000000</v>
      </c>
      <c r="D187" s="49"/>
      <c r="E187" s="50"/>
      <c r="F187" s="42">
        <f t="shared" ref="F187:H187" si="33">F188</f>
        <v>1571445.72</v>
      </c>
      <c r="G187" s="42">
        <f t="shared" si="33"/>
        <v>1853736.3</v>
      </c>
      <c r="H187" s="42">
        <f t="shared" si="33"/>
        <v>1821661.44</v>
      </c>
    </row>
    <row r="188" spans="1:8" ht="28.5" customHeight="1">
      <c r="A188" s="146">
        <v>139</v>
      </c>
      <c r="B188" s="68" t="s">
        <v>147</v>
      </c>
      <c r="C188" s="53" t="str">
        <f>'приложение 4'!E327</f>
        <v>11200L4970</v>
      </c>
      <c r="D188" s="30">
        <v>320</v>
      </c>
      <c r="E188" s="31" t="s">
        <v>127</v>
      </c>
      <c r="F188" s="29">
        <f>'приложение 4'!G329</f>
        <v>1571445.72</v>
      </c>
      <c r="G188" s="29">
        <f>'приложение 4'!H329</f>
        <v>1853736.3</v>
      </c>
      <c r="H188" s="29">
        <f>'приложение 4'!I329</f>
        <v>1821661.44</v>
      </c>
    </row>
    <row r="189" spans="1:8" ht="45">
      <c r="A189" s="146">
        <v>140</v>
      </c>
      <c r="B189" s="45" t="s">
        <v>143</v>
      </c>
      <c r="C189" s="59">
        <v>1130000000</v>
      </c>
      <c r="D189" s="49"/>
      <c r="E189" s="50"/>
      <c r="F189" s="42">
        <f>F190+F191</f>
        <v>2886840</v>
      </c>
      <c r="G189" s="42">
        <f t="shared" ref="G189:H189" si="34">G190</f>
        <v>0</v>
      </c>
      <c r="H189" s="42">
        <f t="shared" si="34"/>
        <v>0</v>
      </c>
    </row>
    <row r="190" spans="1:8" ht="36" customHeight="1">
      <c r="A190" s="205">
        <v>141</v>
      </c>
      <c r="B190" s="211" t="s">
        <v>525</v>
      </c>
      <c r="C190" s="210" t="str">
        <f>'приложение 4'!E262</f>
        <v>1130084670</v>
      </c>
      <c r="D190" s="205">
        <v>240</v>
      </c>
      <c r="E190" s="210" t="s">
        <v>108</v>
      </c>
      <c r="F190" s="29">
        <f>'приложение 4'!G264</f>
        <v>2786840</v>
      </c>
      <c r="G190" s="29">
        <f>'приложение 4'!H264</f>
        <v>0</v>
      </c>
      <c r="H190" s="29">
        <f>'приложение 4'!I264</f>
        <v>0</v>
      </c>
    </row>
    <row r="191" spans="1:8" ht="114" customHeight="1">
      <c r="A191" s="281">
        <v>142</v>
      </c>
      <c r="B191" s="286" t="s">
        <v>604</v>
      </c>
      <c r="C191" s="280" t="s">
        <v>605</v>
      </c>
      <c r="D191" s="281">
        <v>240</v>
      </c>
      <c r="E191" s="280" t="s">
        <v>108</v>
      </c>
      <c r="F191" s="29">
        <f>'приложение 4'!G265</f>
        <v>100000</v>
      </c>
      <c r="G191" s="29">
        <v>0</v>
      </c>
      <c r="H191" s="29">
        <v>0</v>
      </c>
    </row>
    <row r="192" spans="1:8" ht="75">
      <c r="A192" s="146">
        <v>143</v>
      </c>
      <c r="B192" s="204" t="s">
        <v>483</v>
      </c>
      <c r="C192" s="59">
        <v>1140000000</v>
      </c>
      <c r="D192" s="49"/>
      <c r="E192" s="50"/>
      <c r="F192" s="42">
        <f>F193+F195+F194</f>
        <v>4466550</v>
      </c>
      <c r="G192" s="42">
        <f t="shared" ref="G192:H192" si="35">G193+G195+G194</f>
        <v>5731550</v>
      </c>
      <c r="H192" s="42">
        <f t="shared" si="35"/>
        <v>5731550</v>
      </c>
    </row>
    <row r="193" spans="1:8">
      <c r="A193" s="349">
        <v>144</v>
      </c>
      <c r="B193" s="361" t="s">
        <v>386</v>
      </c>
      <c r="C193" s="363">
        <f>'приложение 4'!E274</f>
        <v>1140092030</v>
      </c>
      <c r="D193" s="149">
        <v>240</v>
      </c>
      <c r="E193" s="148" t="s">
        <v>372</v>
      </c>
      <c r="F193" s="42">
        <f>'приложение 4'!G274</f>
        <v>189300</v>
      </c>
      <c r="G193" s="42">
        <f>'приложение 4'!H274</f>
        <v>179840</v>
      </c>
      <c r="H193" s="42">
        <f>'приложение 4'!I274</f>
        <v>179840</v>
      </c>
    </row>
    <row r="194" spans="1:8">
      <c r="A194" s="350"/>
      <c r="B194" s="362"/>
      <c r="C194" s="364"/>
      <c r="D194" s="184">
        <v>850</v>
      </c>
      <c r="E194" s="182" t="s">
        <v>372</v>
      </c>
      <c r="F194" s="42">
        <f>'приложение 4'!G276</f>
        <v>1000</v>
      </c>
      <c r="G194" s="42">
        <f>'приложение 4'!H276</f>
        <v>10460</v>
      </c>
      <c r="H194" s="42">
        <f>'приложение 4'!I276</f>
        <v>10460</v>
      </c>
    </row>
    <row r="195" spans="1:8" ht="90">
      <c r="A195" s="146">
        <v>145</v>
      </c>
      <c r="B195" s="126" t="s">
        <v>422</v>
      </c>
      <c r="C195" s="124">
        <f>'приложение 4'!E186</f>
        <v>1140092040</v>
      </c>
      <c r="D195" s="125">
        <v>240</v>
      </c>
      <c r="E195" s="123" t="s">
        <v>94</v>
      </c>
      <c r="F195" s="51">
        <f>'приложение 4'!G188</f>
        <v>4276250</v>
      </c>
      <c r="G195" s="51">
        <f>'приложение 4'!H188</f>
        <v>5541250</v>
      </c>
      <c r="H195" s="51">
        <f>'приложение 4'!I188</f>
        <v>5541250</v>
      </c>
    </row>
    <row r="196" spans="1:8" ht="45">
      <c r="A196" s="146">
        <v>146</v>
      </c>
      <c r="B196" s="93" t="s">
        <v>144</v>
      </c>
      <c r="C196" s="59">
        <v>1150000000</v>
      </c>
      <c r="D196" s="49"/>
      <c r="E196" s="50"/>
      <c r="F196" s="42">
        <f>F197+F198+F199</f>
        <v>3405600</v>
      </c>
      <c r="G196" s="42">
        <f t="shared" ref="G196:H196" si="36">G197+G198+G199</f>
        <v>3383700</v>
      </c>
      <c r="H196" s="42">
        <f t="shared" si="36"/>
        <v>3227600</v>
      </c>
    </row>
    <row r="197" spans="1:8" ht="24.75" customHeight="1">
      <c r="A197" s="349">
        <v>147</v>
      </c>
      <c r="B197" s="357" t="s">
        <v>59</v>
      </c>
      <c r="C197" s="349">
        <f>'приложение 4'!E333</f>
        <v>1150075870</v>
      </c>
      <c r="D197" s="30">
        <v>410</v>
      </c>
      <c r="E197" s="31" t="s">
        <v>166</v>
      </c>
      <c r="F197" s="29">
        <f>'приложение 4'!G335</f>
        <v>3290165.45</v>
      </c>
      <c r="G197" s="29">
        <f>'приложение 4'!H335</f>
        <v>3277679.33</v>
      </c>
      <c r="H197" s="29">
        <f>'приложение 4'!I335</f>
        <v>3121599.36</v>
      </c>
    </row>
    <row r="198" spans="1:8" ht="24.75" customHeight="1">
      <c r="A198" s="360"/>
      <c r="B198" s="358"/>
      <c r="C198" s="360"/>
      <c r="D198" s="194">
        <v>120</v>
      </c>
      <c r="E198" s="191" t="s">
        <v>128</v>
      </c>
      <c r="F198" s="29">
        <f>'приложение 4'!G363</f>
        <v>111742.17</v>
      </c>
      <c r="G198" s="29">
        <f>'приложение 4'!H363</f>
        <v>102542.17</v>
      </c>
      <c r="H198" s="29">
        <f>'приложение 4'!I363</f>
        <v>102542.17</v>
      </c>
    </row>
    <row r="199" spans="1:8" ht="36" customHeight="1">
      <c r="A199" s="350"/>
      <c r="B199" s="359"/>
      <c r="C199" s="350"/>
      <c r="D199" s="194">
        <v>240</v>
      </c>
      <c r="E199" s="191" t="s">
        <v>128</v>
      </c>
      <c r="F199" s="29">
        <f>'приложение 4'!G365</f>
        <v>3692.38</v>
      </c>
      <c r="G199" s="29">
        <f>'приложение 4'!H365</f>
        <v>3478.5</v>
      </c>
      <c r="H199" s="29">
        <f>'приложение 4'!I365</f>
        <v>3458.47</v>
      </c>
    </row>
    <row r="200" spans="1:8">
      <c r="A200" s="146">
        <v>148</v>
      </c>
      <c r="B200" s="44" t="s">
        <v>145</v>
      </c>
      <c r="C200" s="59"/>
      <c r="D200" s="49"/>
      <c r="E200" s="50"/>
      <c r="F200" s="42">
        <f t="shared" ref="F200:G200" si="37">F201+F202</f>
        <v>1099500</v>
      </c>
      <c r="G200" s="42">
        <f t="shared" si="37"/>
        <v>1015100</v>
      </c>
      <c r="H200" s="42">
        <f t="shared" ref="H200" si="38">H201+H202</f>
        <v>1015100</v>
      </c>
    </row>
    <row r="201" spans="1:8" ht="24.75" customHeight="1">
      <c r="A201" s="355">
        <v>149</v>
      </c>
      <c r="B201" s="368" t="s">
        <v>265</v>
      </c>
      <c r="C201" s="355">
        <f>'приложение 4'!E190</f>
        <v>1190074670</v>
      </c>
      <c r="D201" s="30">
        <v>120</v>
      </c>
      <c r="E201" s="31" t="s">
        <v>94</v>
      </c>
      <c r="F201" s="29">
        <f>'приложение 4'!G192</f>
        <v>1067738.06</v>
      </c>
      <c r="G201" s="29">
        <f>'приложение 4'!H192</f>
        <v>958338.06</v>
      </c>
      <c r="H201" s="29">
        <f>'приложение 4'!I192</f>
        <v>958338.06</v>
      </c>
    </row>
    <row r="202" spans="1:8" ht="35.25" customHeight="1">
      <c r="A202" s="355"/>
      <c r="B202" s="368"/>
      <c r="C202" s="355"/>
      <c r="D202" s="30">
        <v>240</v>
      </c>
      <c r="E202" s="31" t="s">
        <v>94</v>
      </c>
      <c r="F202" s="29">
        <f>'приложение 4'!G194</f>
        <v>31761.940000000002</v>
      </c>
      <c r="G202" s="29">
        <f>'приложение 4'!H194</f>
        <v>56761.94</v>
      </c>
      <c r="H202" s="29">
        <f>'приложение 4'!I194</f>
        <v>56761.94</v>
      </c>
    </row>
    <row r="203" spans="1:8" ht="57.75" customHeight="1">
      <c r="A203" s="205">
        <v>150</v>
      </c>
      <c r="B203" s="84" t="s">
        <v>499</v>
      </c>
      <c r="C203" s="49">
        <v>1200000000</v>
      </c>
      <c r="D203" s="205"/>
      <c r="E203" s="210"/>
      <c r="F203" s="29">
        <f>F204</f>
        <v>6864315.1200000001</v>
      </c>
      <c r="G203" s="29">
        <f t="shared" ref="G203:H203" si="39">G204</f>
        <v>5479500</v>
      </c>
      <c r="H203" s="29">
        <f t="shared" si="39"/>
        <v>5479500</v>
      </c>
    </row>
    <row r="204" spans="1:8" ht="49.5" customHeight="1">
      <c r="A204" s="205">
        <v>151</v>
      </c>
      <c r="B204" s="214" t="s">
        <v>494</v>
      </c>
      <c r="C204" s="207">
        <v>1210000000</v>
      </c>
      <c r="D204" s="205"/>
      <c r="E204" s="210"/>
      <c r="F204" s="29">
        <f>F205+F206+F207+F208+F209+F210+F211</f>
        <v>6864315.1200000001</v>
      </c>
      <c r="G204" s="29">
        <f t="shared" ref="G204:H204" si="40">G205+G206+G207+G208+G209+G210</f>
        <v>5479500</v>
      </c>
      <c r="H204" s="29">
        <f t="shared" si="40"/>
        <v>5479500</v>
      </c>
    </row>
    <row r="205" spans="1:8" ht="34.5" customHeight="1">
      <c r="A205" s="349">
        <v>152</v>
      </c>
      <c r="B205" s="378" t="s">
        <v>50</v>
      </c>
      <c r="C205" s="351" t="str">
        <f>'приложение 4'!E290</f>
        <v>1210075180</v>
      </c>
      <c r="D205" s="205">
        <v>120</v>
      </c>
      <c r="E205" s="210" t="s">
        <v>415</v>
      </c>
      <c r="F205" s="29">
        <f>'приложение 4'!G292</f>
        <v>104234</v>
      </c>
      <c r="G205" s="29">
        <f>'приложение 4'!H292</f>
        <v>95835</v>
      </c>
      <c r="H205" s="29">
        <f>'приложение 4'!I292</f>
        <v>95835</v>
      </c>
    </row>
    <row r="206" spans="1:8" ht="47.25" customHeight="1">
      <c r="A206" s="350"/>
      <c r="B206" s="379"/>
      <c r="C206" s="352"/>
      <c r="D206" s="205">
        <v>240</v>
      </c>
      <c r="E206" s="210" t="s">
        <v>415</v>
      </c>
      <c r="F206" s="29">
        <f>'приложение 4'!G294</f>
        <v>492566</v>
      </c>
      <c r="G206" s="29">
        <f>'приложение 4'!H294</f>
        <v>383665</v>
      </c>
      <c r="H206" s="29">
        <f>'приложение 4'!I294</f>
        <v>383665</v>
      </c>
    </row>
    <row r="207" spans="1:8" ht="47.25" customHeight="1">
      <c r="A207" s="212">
        <v>153</v>
      </c>
      <c r="B207" s="237" t="s">
        <v>476</v>
      </c>
      <c r="C207" s="236" t="str">
        <f>'приложение 4'!E298</f>
        <v>12100S4630</v>
      </c>
      <c r="D207" s="205">
        <v>240</v>
      </c>
      <c r="E207" s="210" t="s">
        <v>421</v>
      </c>
      <c r="F207" s="29">
        <f>'приложение 4'!G298</f>
        <v>0</v>
      </c>
      <c r="G207" s="29">
        <f>'приложение 4'!H298</f>
        <v>0</v>
      </c>
      <c r="H207" s="29">
        <f>'приложение 4'!I298</f>
        <v>0</v>
      </c>
    </row>
    <row r="208" spans="1:8" ht="96" customHeight="1">
      <c r="A208" s="235">
        <v>154</v>
      </c>
      <c r="B208" s="237" t="str">
        <f>'приложение 4'!B299</f>
        <v>Выявление и оценка объектов накопленного вреда окружающей среде, в том числе проведение инженерных изысканий на таких объектах в рамках подпрограммы "Охрана окружающей среды, воспроизводство природных ресурсов в Мотыгинском районе" муниципальной программы "Охрана окружающей среды и обеспечение экологической безопасности на территории муниципального образования Мотыгинский район"</v>
      </c>
      <c r="C208" s="238" t="str">
        <f>'приложение 4'!E299</f>
        <v>1210089110</v>
      </c>
      <c r="D208" s="233">
        <v>240</v>
      </c>
      <c r="E208" s="234" t="s">
        <v>421</v>
      </c>
      <c r="F208" s="29">
        <f>'приложение 4'!G301</f>
        <v>0</v>
      </c>
      <c r="G208" s="29">
        <f>'приложение 4'!H301</f>
        <v>0</v>
      </c>
      <c r="H208" s="29">
        <f>'приложение 4'!I301</f>
        <v>0</v>
      </c>
    </row>
    <row r="209" spans="1:8" ht="87" customHeight="1">
      <c r="A209" s="235">
        <v>155</v>
      </c>
      <c r="B209" s="237" t="str">
        <f>'приложение 4'!B302</f>
        <v>Разработка проектно-сметной документации по ликвидации накопленного вреда окружающей среде рамках подпрограммы "Охрана окружающей среды, воспроизводство природных ресурсов в Мотыгинском районе" муниципальной программы "Охрана окружающей среды и обеспечение экологической безопасности на территории муниципального образования Мотыгинский район"</v>
      </c>
      <c r="C209" s="238" t="str">
        <f>'приложение 4'!E302</f>
        <v>1210089120</v>
      </c>
      <c r="D209" s="233">
        <v>240</v>
      </c>
      <c r="E209" s="234" t="s">
        <v>421</v>
      </c>
      <c r="F209" s="29">
        <f>'приложение 4'!G304</f>
        <v>0</v>
      </c>
      <c r="G209" s="29">
        <f>'приложение 4'!H304</f>
        <v>5000000</v>
      </c>
      <c r="H209" s="29">
        <f>'приложение 4'!I304</f>
        <v>0</v>
      </c>
    </row>
    <row r="210" spans="1:8" ht="47.25" customHeight="1">
      <c r="A210" s="235">
        <v>156</v>
      </c>
      <c r="B210" s="347" t="str">
        <f>'приложение 4'!B305</f>
        <v>Освобождение территории Мотыгинского района  от несанкционированных свалок в рамках подпрограммы "Охрана окружающей среды, воспроизводство природных ресурсов в Мотыгинском районе" муниципальной программы "Охрана окружающей среды и обеспечение экологической безопасности на территории муниципального образования Мотыгинский район"</v>
      </c>
      <c r="C210" s="374" t="str">
        <f>'приложение 4'!E305</f>
        <v>1210089130</v>
      </c>
      <c r="D210" s="233">
        <v>240</v>
      </c>
      <c r="E210" s="234" t="s">
        <v>421</v>
      </c>
      <c r="F210" s="29">
        <f>'приложение 4'!G307</f>
        <v>2500000</v>
      </c>
      <c r="G210" s="29">
        <f>'приложение 4'!H307</f>
        <v>0</v>
      </c>
      <c r="H210" s="29">
        <f>'приложение 4'!I307</f>
        <v>5000000</v>
      </c>
    </row>
    <row r="211" spans="1:8" ht="47.25" customHeight="1">
      <c r="A211" s="274">
        <v>157</v>
      </c>
      <c r="B211" s="348"/>
      <c r="C211" s="375"/>
      <c r="D211" s="272">
        <v>540</v>
      </c>
      <c r="E211" s="273" t="s">
        <v>421</v>
      </c>
      <c r="F211" s="29">
        <f>'приложение 4'!G77</f>
        <v>3767515.12</v>
      </c>
      <c r="G211" s="29">
        <f>'приложение 4'!H77</f>
        <v>0</v>
      </c>
      <c r="H211" s="29">
        <f>'приложение 4'!I77</f>
        <v>0</v>
      </c>
    </row>
    <row r="212" spans="1:8" ht="30">
      <c r="A212" s="146">
        <v>158</v>
      </c>
      <c r="B212" s="73" t="s">
        <v>331</v>
      </c>
      <c r="C212" s="59">
        <v>8100000000</v>
      </c>
      <c r="D212" s="59"/>
      <c r="E212" s="47"/>
      <c r="F212" s="42">
        <f t="shared" ref="F212:H212" si="41">F213</f>
        <v>7029019.8200000003</v>
      </c>
      <c r="G212" s="42">
        <f t="shared" si="41"/>
        <v>8029741.9500000002</v>
      </c>
      <c r="H212" s="42">
        <f t="shared" si="41"/>
        <v>8029741.9500000002</v>
      </c>
    </row>
    <row r="213" spans="1:8">
      <c r="A213" s="146">
        <v>159</v>
      </c>
      <c r="B213" s="57" t="s">
        <v>279</v>
      </c>
      <c r="C213" s="59">
        <v>8110000000</v>
      </c>
      <c r="D213" s="59"/>
      <c r="E213" s="47"/>
      <c r="F213" s="42">
        <f t="shared" ref="F213" si="42">F214+F215+F217+F218+F219+F216</f>
        <v>7029019.8200000003</v>
      </c>
      <c r="G213" s="42">
        <f t="shared" ref="G213" si="43">G214+G215+G217+G218+G219+G216</f>
        <v>8029741.9500000002</v>
      </c>
      <c r="H213" s="42">
        <f t="shared" ref="H213" si="44">H214+H215+H217+H218+H219+H216</f>
        <v>8029741.9500000002</v>
      </c>
    </row>
    <row r="214" spans="1:8" ht="28.5" customHeight="1">
      <c r="A214" s="349">
        <v>160</v>
      </c>
      <c r="B214" s="357" t="s">
        <v>323</v>
      </c>
      <c r="C214" s="349">
        <v>8110000210</v>
      </c>
      <c r="D214" s="70">
        <v>120</v>
      </c>
      <c r="E214" s="71" t="s">
        <v>90</v>
      </c>
      <c r="F214" s="51">
        <f>'приложение 4'!G710</f>
        <v>2515161.27</v>
      </c>
      <c r="G214" s="51">
        <f>'приложение 4'!H710</f>
        <v>2388606.87</v>
      </c>
      <c r="H214" s="51">
        <f>'приложение 4'!I710</f>
        <v>2388606.87</v>
      </c>
    </row>
    <row r="215" spans="1:8" ht="27.75" customHeight="1">
      <c r="A215" s="360"/>
      <c r="B215" s="358"/>
      <c r="C215" s="360"/>
      <c r="D215" s="70">
        <v>240</v>
      </c>
      <c r="E215" s="71" t="s">
        <v>90</v>
      </c>
      <c r="F215" s="51">
        <f>'приложение 4'!G712</f>
        <v>526910</v>
      </c>
      <c r="G215" s="51">
        <f>'приложение 4'!H712</f>
        <v>526910</v>
      </c>
      <c r="H215" s="51">
        <f>'приложение 4'!I712</f>
        <v>526910</v>
      </c>
    </row>
    <row r="216" spans="1:8" ht="43.5" customHeight="1">
      <c r="A216" s="350"/>
      <c r="B216" s="359"/>
      <c r="C216" s="350"/>
      <c r="D216" s="94">
        <v>850</v>
      </c>
      <c r="E216" s="95" t="s">
        <v>90</v>
      </c>
      <c r="F216" s="51">
        <f>'приложение 4'!G714</f>
        <v>500</v>
      </c>
      <c r="G216" s="51">
        <f>'приложение 4'!H714</f>
        <v>500</v>
      </c>
      <c r="H216" s="51">
        <f>'приложение 4'!I714</f>
        <v>500</v>
      </c>
    </row>
    <row r="217" spans="1:8" ht="63" customHeight="1">
      <c r="A217" s="146">
        <v>161</v>
      </c>
      <c r="B217" s="68" t="s">
        <v>324</v>
      </c>
      <c r="C217" s="30">
        <f>'приложение 4'!E715</f>
        <v>8110000220</v>
      </c>
      <c r="D217" s="70">
        <v>120</v>
      </c>
      <c r="E217" s="71" t="s">
        <v>90</v>
      </c>
      <c r="F217" s="51">
        <f>'приложение 4'!G717</f>
        <v>633193.85</v>
      </c>
      <c r="G217" s="51">
        <f>'приложение 4'!H717</f>
        <v>569916.65</v>
      </c>
      <c r="H217" s="51">
        <f>'приложение 4'!I717</f>
        <v>569916.65</v>
      </c>
    </row>
    <row r="218" spans="1:8" ht="50.25" customHeight="1">
      <c r="A218" s="146">
        <v>162</v>
      </c>
      <c r="B218" s="55" t="s">
        <v>396</v>
      </c>
      <c r="C218" s="30">
        <f>'приложение 4'!E718</f>
        <v>8110000230</v>
      </c>
      <c r="D218" s="70">
        <v>120</v>
      </c>
      <c r="E218" s="71" t="s">
        <v>90</v>
      </c>
      <c r="F218" s="51">
        <f>'приложение 4'!G720</f>
        <v>2322127</v>
      </c>
      <c r="G218" s="51">
        <f>'приложение 4'!H720</f>
        <v>2258849.7999999998</v>
      </c>
      <c r="H218" s="51">
        <f>'приложение 4'!I720</f>
        <v>2258849.7999999998</v>
      </c>
    </row>
    <row r="219" spans="1:8" ht="29.25" customHeight="1">
      <c r="A219" s="146">
        <v>163</v>
      </c>
      <c r="B219" s="68" t="s">
        <v>321</v>
      </c>
      <c r="C219" s="30">
        <v>8110000240</v>
      </c>
      <c r="D219" s="70">
        <v>120</v>
      </c>
      <c r="E219" s="71" t="s">
        <v>90</v>
      </c>
      <c r="F219" s="51">
        <f>'приложение 4'!G723</f>
        <v>1031127.7000000001</v>
      </c>
      <c r="G219" s="51">
        <f>'приложение 4'!H723</f>
        <v>2284958.63</v>
      </c>
      <c r="H219" s="51">
        <f>'приложение 4'!I723</f>
        <v>2284958.63</v>
      </c>
    </row>
    <row r="220" spans="1:8" ht="28.5">
      <c r="A220" s="146">
        <v>164</v>
      </c>
      <c r="B220" s="77" t="s">
        <v>300</v>
      </c>
      <c r="C220" s="49">
        <v>8200000000</v>
      </c>
      <c r="D220" s="49"/>
      <c r="E220" s="49"/>
      <c r="F220" s="78">
        <f t="shared" ref="F220:H220" si="45">F221</f>
        <v>4727782.6499999994</v>
      </c>
      <c r="G220" s="78">
        <f t="shared" si="45"/>
        <v>4537950.6499999994</v>
      </c>
      <c r="H220" s="78">
        <f t="shared" si="45"/>
        <v>4109739.6499999994</v>
      </c>
    </row>
    <row r="221" spans="1:8" ht="30">
      <c r="A221" s="146">
        <v>165</v>
      </c>
      <c r="B221" s="57" t="s">
        <v>278</v>
      </c>
      <c r="C221" s="59">
        <v>8210000000</v>
      </c>
      <c r="D221" s="59"/>
      <c r="E221" s="59"/>
      <c r="F221" s="154">
        <f>F222+F223+F224+F225+F226</f>
        <v>4727782.6499999994</v>
      </c>
      <c r="G221" s="206">
        <f t="shared" ref="G221:H221" si="46">G222+G223+G224+G225+G226</f>
        <v>4537950.6499999994</v>
      </c>
      <c r="H221" s="206">
        <f t="shared" si="46"/>
        <v>4109739.6499999994</v>
      </c>
    </row>
    <row r="222" spans="1:8">
      <c r="A222" s="355">
        <v>166</v>
      </c>
      <c r="B222" s="370" t="s">
        <v>75</v>
      </c>
      <c r="C222" s="355">
        <v>8210000210</v>
      </c>
      <c r="D222" s="30">
        <v>120</v>
      </c>
      <c r="E222" s="31" t="s">
        <v>92</v>
      </c>
      <c r="F222" s="145">
        <f>'приложение 4'!G692</f>
        <v>2593618.0799999996</v>
      </c>
      <c r="G222" s="145">
        <f>'приложение 4'!H692</f>
        <v>2467063.2799999998</v>
      </c>
      <c r="H222" s="155">
        <f>'приложение 4'!I692</f>
        <v>2467063.2799999998</v>
      </c>
    </row>
    <row r="223" spans="1:8">
      <c r="A223" s="355"/>
      <c r="B223" s="370"/>
      <c r="C223" s="355"/>
      <c r="D223" s="30">
        <v>240</v>
      </c>
      <c r="E223" s="31" t="s">
        <v>92</v>
      </c>
      <c r="F223" s="145">
        <f>'приложение 4'!G694</f>
        <v>262142.82</v>
      </c>
      <c r="G223" s="145">
        <f>'приложение 4'!H694</f>
        <v>262142.82</v>
      </c>
      <c r="H223" s="155">
        <f>'приложение 4'!I694</f>
        <v>262142.82</v>
      </c>
    </row>
    <row r="224" spans="1:8">
      <c r="A224" s="355"/>
      <c r="B224" s="370"/>
      <c r="C224" s="355"/>
      <c r="D224" s="30">
        <v>850</v>
      </c>
      <c r="E224" s="31" t="s">
        <v>92</v>
      </c>
      <c r="F224" s="145">
        <f>'приложение 4'!G696</f>
        <v>500</v>
      </c>
      <c r="G224" s="145">
        <f>'приложение 4'!H696</f>
        <v>500</v>
      </c>
      <c r="H224" s="155">
        <f>'приложение 4'!I696</f>
        <v>500</v>
      </c>
    </row>
    <row r="225" spans="1:8">
      <c r="A225" s="151">
        <v>167</v>
      </c>
      <c r="B225" s="152" t="s">
        <v>452</v>
      </c>
      <c r="C225" s="151">
        <f>'приложение 4'!E698</f>
        <v>8210000250</v>
      </c>
      <c r="D225" s="151">
        <v>120</v>
      </c>
      <c r="E225" s="150" t="s">
        <v>92</v>
      </c>
      <c r="F225" s="153">
        <f>'приложение 4'!G699</f>
        <v>1443310.75</v>
      </c>
      <c r="G225" s="153">
        <f>'приложение 4'!H699</f>
        <v>1380033.55</v>
      </c>
      <c r="H225" s="155">
        <f>'приложение 4'!I699</f>
        <v>1380033.55</v>
      </c>
    </row>
    <row r="226" spans="1:8" ht="30">
      <c r="A226" s="205">
        <v>168</v>
      </c>
      <c r="B226" s="211" t="s">
        <v>500</v>
      </c>
      <c r="C226" s="210" t="str">
        <f>'приложение 4'!E702</f>
        <v>8210084600</v>
      </c>
      <c r="D226" s="205">
        <v>240</v>
      </c>
      <c r="E226" s="210" t="s">
        <v>92</v>
      </c>
      <c r="F226" s="208">
        <f>'приложение 4'!G702</f>
        <v>428211</v>
      </c>
      <c r="G226" s="208">
        <f>'приложение 4'!H702</f>
        <v>428211</v>
      </c>
      <c r="H226" s="208">
        <f>'приложение 4'!I702</f>
        <v>0</v>
      </c>
    </row>
    <row r="227" spans="1:8" ht="28.5">
      <c r="A227" s="146">
        <v>169</v>
      </c>
      <c r="B227" s="79" t="s">
        <v>297</v>
      </c>
      <c r="C227" s="59">
        <v>8500000000</v>
      </c>
      <c r="D227" s="30"/>
      <c r="E227" s="31"/>
      <c r="F227" s="52">
        <f t="shared" ref="F227:H227" si="47">F228</f>
        <v>58775486.970000006</v>
      </c>
      <c r="G227" s="52">
        <f t="shared" si="47"/>
        <v>46645264.350000009</v>
      </c>
      <c r="H227" s="52">
        <f t="shared" si="47"/>
        <v>46692964.350000009</v>
      </c>
    </row>
    <row r="228" spans="1:8">
      <c r="A228" s="146">
        <v>170</v>
      </c>
      <c r="B228" s="58" t="s">
        <v>256</v>
      </c>
      <c r="C228" s="59">
        <v>8510000000</v>
      </c>
      <c r="D228" s="59"/>
      <c r="E228" s="47"/>
      <c r="F228" s="42">
        <f>F229+F230+F231+F232+F233+F234+F235+F236+F237+F238+F239+F240+F242+F245+F246+F249+F250+F247+F248+F243+F244</f>
        <v>58775486.970000006</v>
      </c>
      <c r="G228" s="42">
        <f t="shared" ref="G228:H228" si="48">G229+G230+G231+G232+G233+G234+G235+G236+G237+G238+G239+G240+G242+G245+G246+G249+G250+G247+G248+G243+G244</f>
        <v>46645264.350000009</v>
      </c>
      <c r="H228" s="42">
        <f t="shared" si="48"/>
        <v>46692964.350000009</v>
      </c>
    </row>
    <row r="229" spans="1:8" ht="30">
      <c r="A229" s="146">
        <v>171</v>
      </c>
      <c r="B229" s="68" t="s">
        <v>257</v>
      </c>
      <c r="C229" s="30">
        <v>8510000210</v>
      </c>
      <c r="D229" s="30">
        <v>120</v>
      </c>
      <c r="E229" s="31" t="s">
        <v>88</v>
      </c>
      <c r="F229" s="29">
        <f>'приложение 4'!G133</f>
        <v>2019588.88</v>
      </c>
      <c r="G229" s="29">
        <f>'приложение 4'!H133</f>
        <v>2464199.7799999998</v>
      </c>
      <c r="H229" s="29">
        <f>'приложение 4'!I133</f>
        <v>2464199.7799999998</v>
      </c>
    </row>
    <row r="230" spans="1:8" ht="27" customHeight="1">
      <c r="A230" s="349">
        <v>172</v>
      </c>
      <c r="B230" s="368" t="s">
        <v>373</v>
      </c>
      <c r="C230" s="346" t="s">
        <v>260</v>
      </c>
      <c r="D230" s="30">
        <v>120</v>
      </c>
      <c r="E230" s="31" t="s">
        <v>91</v>
      </c>
      <c r="F230" s="29">
        <f>'приложение 4'!G139</f>
        <v>32200706.250000004</v>
      </c>
      <c r="G230" s="29">
        <f>'приложение 4'!H139</f>
        <v>28622672.620000001</v>
      </c>
      <c r="H230" s="29">
        <f>'приложение 4'!I139</f>
        <v>28622672.620000001</v>
      </c>
    </row>
    <row r="231" spans="1:8" ht="21.75" customHeight="1">
      <c r="A231" s="360"/>
      <c r="B231" s="368"/>
      <c r="C231" s="346"/>
      <c r="D231" s="30">
        <v>240</v>
      </c>
      <c r="E231" s="31" t="s">
        <v>91</v>
      </c>
      <c r="F231" s="29">
        <f>'приложение 4'!G141</f>
        <v>5649700</v>
      </c>
      <c r="G231" s="29">
        <f>'приложение 4'!H141</f>
        <v>6538000</v>
      </c>
      <c r="H231" s="29">
        <f>'приложение 4'!I141</f>
        <v>6538000</v>
      </c>
    </row>
    <row r="232" spans="1:8" ht="28.5" customHeight="1">
      <c r="A232" s="350"/>
      <c r="B232" s="368"/>
      <c r="C232" s="346"/>
      <c r="D232" s="30">
        <v>850</v>
      </c>
      <c r="E232" s="31" t="s">
        <v>91</v>
      </c>
      <c r="F232" s="29">
        <f>'приложение 4'!G143</f>
        <v>2341530</v>
      </c>
      <c r="G232" s="29">
        <f>'приложение 4'!H143</f>
        <v>824530</v>
      </c>
      <c r="H232" s="29">
        <f>'приложение 4'!I143</f>
        <v>824530</v>
      </c>
    </row>
    <row r="233" spans="1:8" ht="62.25" customHeight="1">
      <c r="A233" s="146">
        <v>173</v>
      </c>
      <c r="B233" s="55" t="s">
        <v>375</v>
      </c>
      <c r="C233" s="31" t="str">
        <f>'приложение 4'!E144</f>
        <v>8510000250</v>
      </c>
      <c r="D233" s="30">
        <v>120</v>
      </c>
      <c r="E233" s="31" t="s">
        <v>91</v>
      </c>
      <c r="F233" s="29">
        <f>'приложение 4'!G146</f>
        <v>6629142.3500000006</v>
      </c>
      <c r="G233" s="29">
        <f>'приложение 4'!H146</f>
        <v>4562761.95</v>
      </c>
      <c r="H233" s="29">
        <f>'приложение 4'!I146</f>
        <v>4562761.95</v>
      </c>
    </row>
    <row r="234" spans="1:8" ht="60">
      <c r="A234" s="146">
        <v>174</v>
      </c>
      <c r="B234" s="96" t="s">
        <v>398</v>
      </c>
      <c r="C234" s="30">
        <v>8510051200</v>
      </c>
      <c r="D234" s="30">
        <v>240</v>
      </c>
      <c r="E234" s="31" t="s">
        <v>160</v>
      </c>
      <c r="F234" s="29">
        <f>'приложение 4'!G152</f>
        <v>6000</v>
      </c>
      <c r="G234" s="29">
        <f>'приложение 4'!H152</f>
        <v>6200</v>
      </c>
      <c r="H234" s="29">
        <f>'приложение 4'!I152</f>
        <v>53900</v>
      </c>
    </row>
    <row r="235" spans="1:8">
      <c r="A235" s="146">
        <v>175</v>
      </c>
      <c r="B235" s="33" t="s">
        <v>34</v>
      </c>
      <c r="C235" s="30">
        <v>8510010110</v>
      </c>
      <c r="D235" s="30">
        <v>870</v>
      </c>
      <c r="E235" s="31" t="s">
        <v>93</v>
      </c>
      <c r="F235" s="29">
        <f>'приложение 4'!G158</f>
        <v>4380000</v>
      </c>
      <c r="G235" s="29">
        <f>'приложение 4'!H158</f>
        <v>150000</v>
      </c>
      <c r="H235" s="29">
        <f>'приложение 4'!I158</f>
        <v>150000</v>
      </c>
    </row>
    <row r="236" spans="1:8" ht="23.25" customHeight="1">
      <c r="A236" s="355">
        <v>176</v>
      </c>
      <c r="B236" s="369" t="s">
        <v>36</v>
      </c>
      <c r="C236" s="355">
        <v>8510074290</v>
      </c>
      <c r="D236" s="30">
        <v>120</v>
      </c>
      <c r="E236" s="31" t="s">
        <v>94</v>
      </c>
      <c r="F236" s="29">
        <f>'приложение 4'!G164</f>
        <v>62600</v>
      </c>
      <c r="G236" s="29">
        <f>'приложение 4'!H164</f>
        <v>57500</v>
      </c>
      <c r="H236" s="29">
        <f>'приложение 4'!I164</f>
        <v>57500</v>
      </c>
    </row>
    <row r="237" spans="1:8" ht="40.5" customHeight="1">
      <c r="A237" s="355"/>
      <c r="B237" s="369"/>
      <c r="C237" s="355"/>
      <c r="D237" s="30">
        <v>240</v>
      </c>
      <c r="E237" s="31" t="s">
        <v>94</v>
      </c>
      <c r="F237" s="29">
        <f>'приложение 4'!G166</f>
        <v>2300</v>
      </c>
      <c r="G237" s="29">
        <f>'приложение 4'!H166</f>
        <v>2300</v>
      </c>
      <c r="H237" s="29">
        <f>'приложение 4'!I166</f>
        <v>2300</v>
      </c>
    </row>
    <row r="238" spans="1:8" ht="24.75" customHeight="1">
      <c r="A238" s="355">
        <v>177</v>
      </c>
      <c r="B238" s="368" t="s">
        <v>30</v>
      </c>
      <c r="C238" s="355">
        <v>8510076040</v>
      </c>
      <c r="D238" s="30">
        <v>120</v>
      </c>
      <c r="E238" s="31" t="s">
        <v>94</v>
      </c>
      <c r="F238" s="29">
        <f>'приложение 4'!G169</f>
        <v>1042738.06</v>
      </c>
      <c r="G238" s="29">
        <f>'приложение 4'!H169</f>
        <v>958338.06</v>
      </c>
      <c r="H238" s="29">
        <f>'приложение 4'!I169</f>
        <v>958338.06</v>
      </c>
    </row>
    <row r="239" spans="1:8" ht="36.75" customHeight="1">
      <c r="A239" s="355"/>
      <c r="B239" s="368"/>
      <c r="C239" s="355"/>
      <c r="D239" s="30">
        <v>240</v>
      </c>
      <c r="E239" s="31" t="s">
        <v>94</v>
      </c>
      <c r="F239" s="29">
        <f>'приложение 4'!G171</f>
        <v>68761.94</v>
      </c>
      <c r="G239" s="29">
        <f>'приложение 4'!H171</f>
        <v>68761.94</v>
      </c>
      <c r="H239" s="29">
        <f>'приложение 4'!I171</f>
        <v>68761.94</v>
      </c>
    </row>
    <row r="240" spans="1:8" ht="26.25" customHeight="1">
      <c r="A240" s="349">
        <v>178</v>
      </c>
      <c r="B240" s="361" t="s">
        <v>37</v>
      </c>
      <c r="C240" s="349">
        <v>8510092020</v>
      </c>
      <c r="D240" s="349">
        <v>830</v>
      </c>
      <c r="E240" s="351" t="s">
        <v>94</v>
      </c>
      <c r="F240" s="344">
        <f>'приложение 4'!G174</f>
        <v>300000</v>
      </c>
      <c r="G240" s="344">
        <f>'приложение 4'!H174</f>
        <v>500000</v>
      </c>
      <c r="H240" s="344">
        <f>'приложение 4'!I174</f>
        <v>500000</v>
      </c>
    </row>
    <row r="241" spans="1:8" ht="42.75" customHeight="1">
      <c r="A241" s="350"/>
      <c r="B241" s="362"/>
      <c r="C241" s="350"/>
      <c r="D241" s="350"/>
      <c r="E241" s="352"/>
      <c r="F241" s="345"/>
      <c r="G241" s="345"/>
      <c r="H241" s="345"/>
    </row>
    <row r="242" spans="1:8" ht="42" customHeight="1">
      <c r="A242" s="146">
        <v>179</v>
      </c>
      <c r="B242" s="87" t="s">
        <v>244</v>
      </c>
      <c r="C242" s="30" t="s">
        <v>263</v>
      </c>
      <c r="D242" s="30">
        <v>240</v>
      </c>
      <c r="E242" s="31" t="s">
        <v>94</v>
      </c>
      <c r="F242" s="29">
        <f>'приложение 4'!G177</f>
        <v>167662.97</v>
      </c>
      <c r="G242" s="29">
        <f>'приложение 4'!H177</f>
        <v>0</v>
      </c>
      <c r="H242" s="29">
        <f>'приложение 4'!I177</f>
        <v>0</v>
      </c>
    </row>
    <row r="243" spans="1:8" ht="42" customHeight="1">
      <c r="A243" s="349">
        <v>180</v>
      </c>
      <c r="B243" s="357" t="str">
        <f>'приложение 4'!B219</f>
        <v>Субвенции бюджетам муниципальных районов на осуществление отдельных государственных полномочий в области охраны труда по государственному управлению охраной труда</v>
      </c>
      <c r="C243" s="351" t="str">
        <f>'приложение 4'!E223</f>
        <v>8510076850</v>
      </c>
      <c r="D243" s="225">
        <v>120</v>
      </c>
      <c r="E243" s="227" t="s">
        <v>103</v>
      </c>
      <c r="F243" s="29">
        <f>'приложение 4'!G221</f>
        <v>219161.62</v>
      </c>
      <c r="G243" s="29">
        <f>'приложение 4'!H221</f>
        <v>202261.62</v>
      </c>
      <c r="H243" s="29">
        <f>'приложение 4'!I221</f>
        <v>202261.62</v>
      </c>
    </row>
    <row r="244" spans="1:8" ht="42" customHeight="1">
      <c r="A244" s="350"/>
      <c r="B244" s="359"/>
      <c r="C244" s="350"/>
      <c r="D244" s="225">
        <v>240</v>
      </c>
      <c r="E244" s="227" t="s">
        <v>103</v>
      </c>
      <c r="F244" s="29">
        <f>'приложение 4'!G223</f>
        <v>27738.38</v>
      </c>
      <c r="G244" s="29">
        <f>'приложение 4'!H223</f>
        <v>27738.38</v>
      </c>
      <c r="H244" s="29">
        <f>'приложение 4'!I223</f>
        <v>27738.38</v>
      </c>
    </row>
    <row r="245" spans="1:8">
      <c r="A245" s="355">
        <v>181</v>
      </c>
      <c r="B245" s="368" t="s">
        <v>385</v>
      </c>
      <c r="C245" s="367">
        <f>'приложение 4'!E340</f>
        <v>8510002890</v>
      </c>
      <c r="D245" s="30">
        <v>120</v>
      </c>
      <c r="E245" s="346" t="s">
        <v>128</v>
      </c>
      <c r="F245" s="29">
        <f>'приложение 4'!G341</f>
        <v>1042738.06</v>
      </c>
      <c r="G245" s="29">
        <f>'приложение 4'!H341</f>
        <v>958338.06</v>
      </c>
      <c r="H245" s="29">
        <f>'приложение 4'!I341</f>
        <v>958338.06</v>
      </c>
    </row>
    <row r="246" spans="1:8" ht="36" customHeight="1">
      <c r="A246" s="355"/>
      <c r="B246" s="368"/>
      <c r="C246" s="367"/>
      <c r="D246" s="30">
        <v>240</v>
      </c>
      <c r="E246" s="346"/>
      <c r="F246" s="29">
        <f>'приложение 4'!G343</f>
        <v>148461.94</v>
      </c>
      <c r="G246" s="29">
        <f>'приложение 4'!H343</f>
        <v>148461.94</v>
      </c>
      <c r="H246" s="29">
        <f>'приложение 4'!I343</f>
        <v>148461.94</v>
      </c>
    </row>
    <row r="247" spans="1:8">
      <c r="A247" s="349">
        <v>182</v>
      </c>
      <c r="B247" s="380" t="s">
        <v>455</v>
      </c>
      <c r="C247" s="382">
        <f>'приложение 4'!E344</f>
        <v>8510078460</v>
      </c>
      <c r="D247" s="162">
        <v>120</v>
      </c>
      <c r="E247" s="351" t="s">
        <v>128</v>
      </c>
      <c r="F247" s="29">
        <f>'приложение 4'!G346</f>
        <v>56351</v>
      </c>
      <c r="G247" s="29">
        <f>'приложение 4'!H346</f>
        <v>51751</v>
      </c>
      <c r="H247" s="29">
        <f>'приложение 4'!I346</f>
        <v>51751</v>
      </c>
    </row>
    <row r="248" spans="1:8">
      <c r="A248" s="350"/>
      <c r="B248" s="381"/>
      <c r="C248" s="383"/>
      <c r="D248" s="162">
        <v>240</v>
      </c>
      <c r="E248" s="352"/>
      <c r="F248" s="29">
        <f>'приложение 4'!G348</f>
        <v>1449</v>
      </c>
      <c r="G248" s="29">
        <f>'приложение 4'!H348</f>
        <v>1449</v>
      </c>
      <c r="H248" s="29">
        <f>'приложение 4'!I348</f>
        <v>1449</v>
      </c>
    </row>
    <row r="249" spans="1:8" ht="34.5" customHeight="1">
      <c r="A249" s="146">
        <v>183</v>
      </c>
      <c r="B249" s="85" t="s">
        <v>404</v>
      </c>
      <c r="C249" s="69">
        <f>'приложение 4'!E180</f>
        <v>8510084570</v>
      </c>
      <c r="D249" s="30">
        <v>240</v>
      </c>
      <c r="E249" s="31" t="s">
        <v>94</v>
      </c>
      <c r="F249" s="29">
        <f>'приложение 4'!G180</f>
        <v>70720.51999999999</v>
      </c>
      <c r="G249" s="29">
        <f>'приложение 4'!H180</f>
        <v>0</v>
      </c>
      <c r="H249" s="29">
        <f>'приложение 4'!I180</f>
        <v>0</v>
      </c>
    </row>
    <row r="250" spans="1:8" ht="48" customHeight="1">
      <c r="A250" s="146">
        <v>184</v>
      </c>
      <c r="B250" s="128" t="s">
        <v>423</v>
      </c>
      <c r="C250" s="127" t="str">
        <f>'приложение 4'!E183</f>
        <v>8510084580</v>
      </c>
      <c r="D250" s="125">
        <v>240</v>
      </c>
      <c r="E250" s="123" t="s">
        <v>94</v>
      </c>
      <c r="F250" s="29">
        <f>'приложение 4'!G183</f>
        <v>2338136</v>
      </c>
      <c r="G250" s="29">
        <f>'приложение 4'!H183</f>
        <v>500000</v>
      </c>
      <c r="H250" s="29">
        <f>'приложение 4'!I183</f>
        <v>500000</v>
      </c>
    </row>
    <row r="251" spans="1:8">
      <c r="A251" s="146">
        <v>185</v>
      </c>
      <c r="B251" s="84" t="s">
        <v>298</v>
      </c>
      <c r="C251" s="59">
        <v>9100000000</v>
      </c>
      <c r="D251" s="30"/>
      <c r="E251" s="31"/>
      <c r="F251" s="52">
        <f>F252+F255+F259</f>
        <v>91024085.499999985</v>
      </c>
      <c r="G251" s="52">
        <f t="shared" ref="G251:H251" si="49">G252+G255+G259</f>
        <v>82031330.689999998</v>
      </c>
      <c r="H251" s="52">
        <f t="shared" si="49"/>
        <v>82017614.689999998</v>
      </c>
    </row>
    <row r="252" spans="1:8" ht="26.25" customHeight="1">
      <c r="A252" s="246">
        <v>186</v>
      </c>
      <c r="B252" s="253" t="s">
        <v>555</v>
      </c>
      <c r="C252" s="248">
        <v>9140000000</v>
      </c>
      <c r="D252" s="246"/>
      <c r="E252" s="250"/>
      <c r="F252" s="52">
        <f>F253+F254</f>
        <v>366800</v>
      </c>
      <c r="G252" s="52">
        <f t="shared" ref="G252:H252" si="50">G253</f>
        <v>0</v>
      </c>
      <c r="H252" s="52">
        <f t="shared" si="50"/>
        <v>0</v>
      </c>
    </row>
    <row r="253" spans="1:8" ht="51.75" customHeight="1">
      <c r="A253" s="349">
        <v>187</v>
      </c>
      <c r="B253" s="361" t="s">
        <v>557</v>
      </c>
      <c r="C253" s="349" t="s">
        <v>558</v>
      </c>
      <c r="D253" s="349">
        <v>610</v>
      </c>
      <c r="E253" s="250" t="s">
        <v>116</v>
      </c>
      <c r="F253" s="29">
        <f>'приложение 4'!G466</f>
        <v>154325</v>
      </c>
      <c r="G253" s="29">
        <f>'приложение 4'!H466</f>
        <v>0</v>
      </c>
      <c r="H253" s="29">
        <f>'приложение 4'!I466</f>
        <v>0</v>
      </c>
    </row>
    <row r="254" spans="1:8" ht="39" customHeight="1">
      <c r="A254" s="350"/>
      <c r="B254" s="362"/>
      <c r="C254" s="350"/>
      <c r="D254" s="350"/>
      <c r="E254" s="250" t="s">
        <v>117</v>
      </c>
      <c r="F254" s="29">
        <f>'приложение 4'!G522</f>
        <v>212475</v>
      </c>
      <c r="G254" s="29"/>
      <c r="H254" s="29"/>
    </row>
    <row r="255" spans="1:8" ht="30">
      <c r="A255" s="146">
        <v>188</v>
      </c>
      <c r="B255" s="93" t="s">
        <v>282</v>
      </c>
      <c r="C255" s="59">
        <v>9150000000</v>
      </c>
      <c r="D255" s="59"/>
      <c r="E255" s="47"/>
      <c r="F255" s="42">
        <f t="shared" ref="F255:G255" si="51">F256+F257+F258</f>
        <v>10364656.74</v>
      </c>
      <c r="G255" s="42">
        <f t="shared" si="51"/>
        <v>10113138.73</v>
      </c>
      <c r="H255" s="42">
        <f t="shared" ref="H255" si="52">H256+H257+H258</f>
        <v>10113138.73</v>
      </c>
    </row>
    <row r="256" spans="1:8">
      <c r="A256" s="355">
        <v>189</v>
      </c>
      <c r="B256" s="368" t="s">
        <v>299</v>
      </c>
      <c r="C256" s="355">
        <v>9150000620</v>
      </c>
      <c r="D256" s="30">
        <v>110</v>
      </c>
      <c r="E256" s="31" t="s">
        <v>94</v>
      </c>
      <c r="F256" s="29">
        <f>'приложение 4'!G422</f>
        <v>9898056.7400000002</v>
      </c>
      <c r="G256" s="29">
        <f>'приложение 4'!H422</f>
        <v>9766538.7300000004</v>
      </c>
      <c r="H256" s="29">
        <f>'приложение 4'!I422</f>
        <v>9766538.7300000004</v>
      </c>
    </row>
    <row r="257" spans="1:8">
      <c r="A257" s="355"/>
      <c r="B257" s="368"/>
      <c r="C257" s="355"/>
      <c r="D257" s="30">
        <v>240</v>
      </c>
      <c r="E257" s="31" t="s">
        <v>94</v>
      </c>
      <c r="F257" s="29">
        <f>'приложение 4'!G424</f>
        <v>455600</v>
      </c>
      <c r="G257" s="29">
        <f>'приложение 4'!H424</f>
        <v>345600</v>
      </c>
      <c r="H257" s="29">
        <f>'приложение 4'!I424</f>
        <v>345600</v>
      </c>
    </row>
    <row r="258" spans="1:8">
      <c r="A258" s="355"/>
      <c r="B258" s="368"/>
      <c r="C258" s="355"/>
      <c r="D258" s="30">
        <v>850</v>
      </c>
      <c r="E258" s="31" t="s">
        <v>94</v>
      </c>
      <c r="F258" s="29">
        <f>'приложение 4'!G426</f>
        <v>11000</v>
      </c>
      <c r="G258" s="29">
        <f>'приложение 4'!H426</f>
        <v>1000</v>
      </c>
      <c r="H258" s="29">
        <f>'приложение 4'!I426</f>
        <v>1000</v>
      </c>
    </row>
    <row r="259" spans="1:8" ht="30">
      <c r="A259" s="146">
        <v>190</v>
      </c>
      <c r="B259" s="93" t="s">
        <v>274</v>
      </c>
      <c r="C259" s="59">
        <v>9170000000</v>
      </c>
      <c r="D259" s="59"/>
      <c r="E259" s="47"/>
      <c r="F259" s="42">
        <f>F260+F261+F262+F263+F264</f>
        <v>80292628.75999999</v>
      </c>
      <c r="G259" s="42">
        <f>G260+G261+G262+G263+G264</f>
        <v>71918191.959999993</v>
      </c>
      <c r="H259" s="42">
        <f>H260+H261+H262+H263+H264</f>
        <v>71904475.959999993</v>
      </c>
    </row>
    <row r="260" spans="1:8">
      <c r="A260" s="355">
        <v>191</v>
      </c>
      <c r="B260" s="368" t="s">
        <v>299</v>
      </c>
      <c r="C260" s="346" t="s">
        <v>276</v>
      </c>
      <c r="D260" s="30">
        <v>110</v>
      </c>
      <c r="E260" s="31" t="s">
        <v>94</v>
      </c>
      <c r="F260" s="29">
        <f>'приложение 4'!G405</f>
        <v>76219772.25999999</v>
      </c>
      <c r="G260" s="29">
        <f>'приложение 4'!H405</f>
        <v>68817065.459999993</v>
      </c>
      <c r="H260" s="29">
        <f>'приложение 4'!I405</f>
        <v>69143454.959999993</v>
      </c>
    </row>
    <row r="261" spans="1:8">
      <c r="A261" s="355"/>
      <c r="B261" s="368"/>
      <c r="C261" s="346"/>
      <c r="D261" s="30">
        <v>240</v>
      </c>
      <c r="E261" s="31" t="s">
        <v>94</v>
      </c>
      <c r="F261" s="29">
        <f>'приложение 4'!G407</f>
        <v>2732418</v>
      </c>
      <c r="G261" s="29">
        <f>'приложение 4'!H407</f>
        <v>2732418</v>
      </c>
      <c r="H261" s="29">
        <f>'приложение 4'!I407</f>
        <v>2732418</v>
      </c>
    </row>
    <row r="262" spans="1:8">
      <c r="A262" s="355"/>
      <c r="B262" s="368"/>
      <c r="C262" s="346"/>
      <c r="D262" s="30">
        <v>850</v>
      </c>
      <c r="E262" s="31" t="s">
        <v>94</v>
      </c>
      <c r="F262" s="29">
        <f>'приложение 4'!G409</f>
        <v>28603</v>
      </c>
      <c r="G262" s="29">
        <f>'приложение 4'!H409</f>
        <v>28603</v>
      </c>
      <c r="H262" s="29">
        <f>'приложение 4'!I409</f>
        <v>28603</v>
      </c>
    </row>
    <row r="263" spans="1:8" ht="24" customHeight="1">
      <c r="A263" s="355">
        <v>192</v>
      </c>
      <c r="B263" s="371" t="s">
        <v>325</v>
      </c>
      <c r="C263" s="346" t="str">
        <f>'приложение 4'!E411</f>
        <v>9170084560</v>
      </c>
      <c r="D263" s="30">
        <v>110</v>
      </c>
      <c r="E263" s="31" t="s">
        <v>94</v>
      </c>
      <c r="F263" s="29">
        <f>'приложение 4'!G412</f>
        <v>1263829.5</v>
      </c>
      <c r="G263" s="29">
        <f>'приложение 4'!H412</f>
        <v>326389.5</v>
      </c>
      <c r="H263" s="29">
        <f>'приложение 4'!I412</f>
        <v>0</v>
      </c>
    </row>
    <row r="264" spans="1:8" ht="29.25" customHeight="1">
      <c r="A264" s="355"/>
      <c r="B264" s="371"/>
      <c r="C264" s="346"/>
      <c r="D264" s="30">
        <v>240</v>
      </c>
      <c r="E264" s="31" t="s">
        <v>94</v>
      </c>
      <c r="F264" s="29">
        <f>'приложение 4'!G414</f>
        <v>48006</v>
      </c>
      <c r="G264" s="29">
        <f>'приложение 4'!H414</f>
        <v>13716</v>
      </c>
      <c r="H264" s="29">
        <f>'приложение 4'!I414</f>
        <v>0</v>
      </c>
    </row>
    <row r="265" spans="1:8" ht="28.5">
      <c r="A265" s="146">
        <v>193</v>
      </c>
      <c r="B265" s="79" t="s">
        <v>227</v>
      </c>
      <c r="C265" s="59">
        <v>9200000000</v>
      </c>
      <c r="D265" s="30"/>
      <c r="E265" s="31"/>
      <c r="F265" s="52">
        <f t="shared" ref="F265:H265" si="53">F266</f>
        <v>3260600</v>
      </c>
      <c r="G265" s="52">
        <f t="shared" si="53"/>
        <v>3587200</v>
      </c>
      <c r="H265" s="52">
        <f t="shared" si="53"/>
        <v>3931300</v>
      </c>
    </row>
    <row r="266" spans="1:8" ht="30">
      <c r="A266" s="146">
        <v>194</v>
      </c>
      <c r="B266" s="93" t="s">
        <v>261</v>
      </c>
      <c r="C266" s="59">
        <v>9210000000</v>
      </c>
      <c r="D266" s="59"/>
      <c r="E266" s="47"/>
      <c r="F266" s="42">
        <f>F267+F268+F269</f>
        <v>3260600</v>
      </c>
      <c r="G266" s="42">
        <f t="shared" ref="G266:H266" si="54">G267+G268+G269</f>
        <v>3587200</v>
      </c>
      <c r="H266" s="42">
        <f t="shared" si="54"/>
        <v>3931300</v>
      </c>
    </row>
    <row r="267" spans="1:8" ht="60">
      <c r="A267" s="146">
        <v>195</v>
      </c>
      <c r="B267" s="68" t="s">
        <v>397</v>
      </c>
      <c r="C267" s="30">
        <v>9210075140</v>
      </c>
      <c r="D267" s="30">
        <v>530</v>
      </c>
      <c r="E267" s="31" t="s">
        <v>94</v>
      </c>
      <c r="F267" s="29">
        <f>'приложение 4'!G38</f>
        <v>104800</v>
      </c>
      <c r="G267" s="29">
        <f>'приложение 4'!H38</f>
        <v>93000</v>
      </c>
      <c r="H267" s="29">
        <f>'приложение 4'!I38</f>
        <v>93000</v>
      </c>
    </row>
    <row r="268" spans="1:8" ht="45">
      <c r="A268" s="146">
        <v>196</v>
      </c>
      <c r="B268" s="56" t="s">
        <v>369</v>
      </c>
      <c r="C268" s="30">
        <v>9210051180</v>
      </c>
      <c r="D268" s="30">
        <v>530</v>
      </c>
      <c r="E268" s="31" t="s">
        <v>97</v>
      </c>
      <c r="F268" s="29">
        <f>'приложение 4'!G45</f>
        <v>2955800</v>
      </c>
      <c r="G268" s="29">
        <f>'приложение 4'!H45</f>
        <v>3294200</v>
      </c>
      <c r="H268" s="29">
        <f>'приложение 4'!I45</f>
        <v>3638300</v>
      </c>
    </row>
    <row r="269" spans="1:8">
      <c r="A269" s="146">
        <v>197</v>
      </c>
      <c r="B269" s="91" t="s">
        <v>408</v>
      </c>
      <c r="C269" s="88">
        <f>'приложение 4'!E99</f>
        <v>9210000910</v>
      </c>
      <c r="D269" s="86">
        <v>730</v>
      </c>
      <c r="E269" s="89" t="s">
        <v>407</v>
      </c>
      <c r="F269" s="29">
        <f>'приложение 4'!G99</f>
        <v>200000</v>
      </c>
      <c r="G269" s="29">
        <f>'приложение 4'!H99</f>
        <v>200000</v>
      </c>
      <c r="H269" s="29">
        <f>'приложение 4'!I99</f>
        <v>200000</v>
      </c>
    </row>
    <row r="270" spans="1:8">
      <c r="A270" s="146">
        <v>198</v>
      </c>
      <c r="B270" s="55" t="s">
        <v>132</v>
      </c>
      <c r="C270" s="30"/>
      <c r="D270" s="30"/>
      <c r="E270" s="31"/>
      <c r="F270" s="29">
        <f>'приложение 4'!G724</f>
        <v>0</v>
      </c>
      <c r="G270" s="29">
        <f>'приложение 4'!H724</f>
        <v>22582387</v>
      </c>
      <c r="H270" s="29">
        <f>'приложение 4'!I724</f>
        <v>43748000</v>
      </c>
    </row>
    <row r="271" spans="1:8">
      <c r="A271" s="146">
        <v>199</v>
      </c>
      <c r="B271" s="77" t="s">
        <v>150</v>
      </c>
      <c r="C271" s="49"/>
      <c r="D271" s="49"/>
      <c r="E271" s="50"/>
      <c r="F271" s="52">
        <f>F21+F49+F102+F112+F123+F143+F151+F164+F172+F185+F15+F212+F220+F227+F251+F265+F270+F203</f>
        <v>1482842990.1400001</v>
      </c>
      <c r="G271" s="52">
        <f>G21+G49+G102+G112+G123+G143+G151+G164+G172+G185+G15+G212+G220+G227+G251+G265+G270+G203</f>
        <v>1345243875.6300001</v>
      </c>
      <c r="H271" s="52">
        <f>H21+H49+H102+H112+H123+H143+H151+H164+H172+H185+H15+H212+H220+H227+H251+H265+H270+H203</f>
        <v>1342802605.7600002</v>
      </c>
    </row>
    <row r="272" spans="1:8">
      <c r="A272" s="80"/>
      <c r="B272" s="81"/>
      <c r="C272" s="82"/>
      <c r="D272" s="82"/>
      <c r="E272" s="82"/>
      <c r="F272" s="82"/>
      <c r="G272" s="82"/>
    </row>
    <row r="273" spans="1:8">
      <c r="A273" s="80"/>
      <c r="B273" s="43"/>
      <c r="C273" s="39"/>
      <c r="D273" s="39"/>
      <c r="E273" s="39"/>
      <c r="F273" s="265">
        <f>'приложение 4'!G725-'приложение 5'!F271</f>
        <v>0</v>
      </c>
      <c r="G273" s="265">
        <f>'приложение 4'!H725-'приложение 5'!G271</f>
        <v>0</v>
      </c>
      <c r="H273" s="265">
        <f>'приложение 4'!I725-'приложение 5'!H271</f>
        <v>0</v>
      </c>
    </row>
    <row r="274" spans="1:8">
      <c r="A274" s="80"/>
      <c r="B274" s="43"/>
      <c r="C274" s="39"/>
      <c r="D274" s="39"/>
      <c r="E274" s="39"/>
      <c r="F274" s="39"/>
      <c r="G274" s="39"/>
    </row>
    <row r="275" spans="1:8">
      <c r="A275" s="80"/>
      <c r="B275" s="43"/>
      <c r="C275" s="39"/>
      <c r="D275" s="39"/>
      <c r="E275" s="39"/>
      <c r="F275" s="39"/>
      <c r="G275" s="39"/>
    </row>
    <row r="276" spans="1:8">
      <c r="A276" s="80"/>
      <c r="B276" s="43"/>
      <c r="C276" s="39"/>
      <c r="D276" s="39"/>
      <c r="E276" s="39"/>
      <c r="F276" s="39"/>
      <c r="G276" s="39"/>
    </row>
    <row r="277" spans="1:8">
      <c r="A277" s="80"/>
      <c r="B277" s="43"/>
      <c r="C277" s="39"/>
      <c r="D277" s="39"/>
      <c r="E277" s="39"/>
      <c r="F277" s="39"/>
      <c r="G277" s="39"/>
    </row>
    <row r="278" spans="1:8">
      <c r="A278" s="80"/>
      <c r="B278" s="43"/>
      <c r="C278" s="39"/>
      <c r="D278" s="39"/>
      <c r="E278" s="39"/>
      <c r="F278" s="39"/>
      <c r="G278" s="39"/>
    </row>
    <row r="279" spans="1:8">
      <c r="A279" s="80"/>
      <c r="B279" s="43"/>
      <c r="C279" s="39"/>
      <c r="D279" s="39"/>
      <c r="E279" s="39"/>
      <c r="F279" s="39"/>
      <c r="G279" s="39"/>
    </row>
    <row r="280" spans="1:8">
      <c r="A280" s="80"/>
      <c r="B280" s="43"/>
      <c r="C280" s="39"/>
      <c r="D280" s="39"/>
      <c r="E280" s="39"/>
      <c r="F280" s="39"/>
      <c r="G280" s="39"/>
    </row>
    <row r="281" spans="1:8">
      <c r="A281" s="80"/>
      <c r="B281" s="43"/>
      <c r="C281" s="39"/>
      <c r="D281" s="39"/>
      <c r="E281" s="39"/>
      <c r="F281" s="39"/>
      <c r="G281" s="39"/>
    </row>
    <row r="282" spans="1:8">
      <c r="A282" s="80"/>
      <c r="B282" s="43"/>
      <c r="C282" s="39"/>
      <c r="D282" s="39"/>
      <c r="E282" s="39"/>
      <c r="F282" s="39"/>
      <c r="G282" s="39"/>
    </row>
    <row r="283" spans="1:8">
      <c r="A283" s="80"/>
      <c r="B283" s="43"/>
      <c r="C283" s="39"/>
      <c r="D283" s="39"/>
      <c r="E283" s="39"/>
      <c r="F283" s="39"/>
      <c r="G283" s="39"/>
    </row>
    <row r="284" spans="1:8">
      <c r="A284" s="80"/>
      <c r="B284" s="43"/>
      <c r="C284" s="39"/>
      <c r="D284" s="39"/>
      <c r="E284" s="39"/>
      <c r="F284" s="39"/>
      <c r="G284" s="39"/>
    </row>
    <row r="285" spans="1:8">
      <c r="A285" s="80"/>
      <c r="B285" s="43"/>
      <c r="C285" s="39"/>
      <c r="D285" s="39"/>
      <c r="E285" s="39"/>
      <c r="F285" s="39"/>
      <c r="G285" s="39"/>
    </row>
    <row r="286" spans="1:8">
      <c r="A286" s="80"/>
      <c r="B286" s="43"/>
      <c r="C286" s="39"/>
      <c r="D286" s="39"/>
      <c r="E286" s="39"/>
      <c r="F286" s="39"/>
      <c r="G286" s="39"/>
    </row>
    <row r="287" spans="1:8">
      <c r="A287" s="80"/>
      <c r="B287" s="43"/>
      <c r="C287" s="39"/>
      <c r="D287" s="39"/>
      <c r="E287" s="39"/>
      <c r="F287" s="39"/>
      <c r="G287" s="39"/>
    </row>
    <row r="288" spans="1:8">
      <c r="A288" s="80"/>
      <c r="B288" s="43"/>
      <c r="C288" s="39"/>
      <c r="D288" s="39"/>
      <c r="E288" s="39"/>
      <c r="F288" s="39"/>
      <c r="G288" s="39"/>
    </row>
    <row r="289" spans="1:7">
      <c r="A289" s="80"/>
      <c r="B289" s="43"/>
      <c r="C289" s="39"/>
      <c r="D289" s="39"/>
      <c r="E289" s="39"/>
      <c r="F289" s="39"/>
      <c r="G289" s="39"/>
    </row>
    <row r="290" spans="1:7">
      <c r="A290" s="80"/>
      <c r="B290" s="43"/>
      <c r="C290" s="39"/>
      <c r="D290" s="39"/>
      <c r="E290" s="39"/>
      <c r="F290" s="39"/>
      <c r="G290" s="39"/>
    </row>
    <row r="291" spans="1:7">
      <c r="A291" s="80"/>
      <c r="B291" s="43"/>
      <c r="C291" s="39"/>
      <c r="D291" s="39"/>
      <c r="E291" s="39"/>
      <c r="F291" s="39"/>
      <c r="G291" s="39"/>
    </row>
    <row r="292" spans="1:7">
      <c r="A292" s="80"/>
      <c r="B292" s="43"/>
      <c r="C292" s="39"/>
      <c r="D292" s="39"/>
      <c r="E292" s="39"/>
      <c r="F292" s="39"/>
      <c r="G292" s="39"/>
    </row>
    <row r="293" spans="1:7">
      <c r="A293" s="80"/>
      <c r="B293" s="43"/>
      <c r="C293" s="39"/>
      <c r="D293" s="39"/>
      <c r="E293" s="39"/>
      <c r="F293" s="39"/>
      <c r="G293" s="39"/>
    </row>
    <row r="294" spans="1:7">
      <c r="A294" s="80"/>
      <c r="B294" s="43"/>
      <c r="C294" s="39"/>
      <c r="D294" s="39"/>
      <c r="E294" s="39"/>
      <c r="F294" s="39"/>
      <c r="G294" s="39"/>
    </row>
    <row r="295" spans="1:7">
      <c r="A295" s="80"/>
      <c r="B295" s="43"/>
      <c r="C295" s="39"/>
      <c r="D295" s="39"/>
      <c r="E295" s="39"/>
      <c r="F295" s="39"/>
      <c r="G295" s="39"/>
    </row>
    <row r="296" spans="1:7">
      <c r="A296" s="80"/>
      <c r="B296" s="43"/>
      <c r="C296" s="39"/>
      <c r="D296" s="39"/>
      <c r="E296" s="39"/>
      <c r="F296" s="39"/>
      <c r="G296" s="39"/>
    </row>
    <row r="297" spans="1:7">
      <c r="A297" s="80"/>
      <c r="B297" s="43"/>
      <c r="C297" s="39"/>
      <c r="D297" s="39"/>
      <c r="E297" s="39"/>
      <c r="F297" s="39"/>
      <c r="G297" s="39"/>
    </row>
    <row r="298" spans="1:7">
      <c r="A298" s="80"/>
      <c r="B298" s="43"/>
      <c r="C298" s="39"/>
      <c r="D298" s="39"/>
      <c r="E298" s="39"/>
      <c r="F298" s="39"/>
      <c r="G298" s="39"/>
    </row>
    <row r="299" spans="1:7">
      <c r="A299" s="80"/>
      <c r="B299" s="43"/>
      <c r="C299" s="39"/>
      <c r="D299" s="39"/>
      <c r="E299" s="39"/>
      <c r="F299" s="39"/>
      <c r="G299" s="39"/>
    </row>
    <row r="300" spans="1:7">
      <c r="A300" s="80"/>
      <c r="B300" s="43"/>
      <c r="C300" s="39"/>
      <c r="D300" s="39"/>
      <c r="E300" s="39"/>
      <c r="F300" s="39"/>
      <c r="G300" s="39"/>
    </row>
    <row r="301" spans="1:7">
      <c r="A301" s="80"/>
      <c r="B301" s="43"/>
      <c r="C301" s="39"/>
      <c r="D301" s="39"/>
      <c r="E301" s="39"/>
      <c r="F301" s="39"/>
      <c r="G301" s="39"/>
    </row>
    <row r="302" spans="1:7">
      <c r="A302" s="80"/>
      <c r="B302" s="43"/>
      <c r="C302" s="39"/>
      <c r="D302" s="39"/>
      <c r="E302" s="39"/>
      <c r="F302" s="39"/>
      <c r="G302" s="39"/>
    </row>
    <row r="303" spans="1:7">
      <c r="A303" s="80"/>
      <c r="B303" s="43"/>
      <c r="C303" s="39"/>
      <c r="D303" s="39"/>
      <c r="E303" s="39"/>
      <c r="F303" s="39"/>
      <c r="G303" s="39"/>
    </row>
    <row r="304" spans="1:7">
      <c r="A304" s="80"/>
      <c r="B304" s="43"/>
      <c r="C304" s="39"/>
      <c r="D304" s="39"/>
      <c r="E304" s="39"/>
      <c r="F304" s="39"/>
      <c r="G304" s="39"/>
    </row>
    <row r="305" spans="1:7">
      <c r="A305" s="80"/>
      <c r="B305" s="43"/>
      <c r="C305" s="39"/>
      <c r="D305" s="39"/>
      <c r="E305" s="39"/>
      <c r="F305" s="39"/>
      <c r="G305" s="39"/>
    </row>
    <row r="306" spans="1:7">
      <c r="A306" s="80"/>
      <c r="B306" s="43"/>
      <c r="C306" s="39"/>
      <c r="D306" s="39"/>
      <c r="E306" s="39"/>
      <c r="F306" s="39"/>
      <c r="G306" s="39"/>
    </row>
    <row r="307" spans="1:7">
      <c r="A307" s="80"/>
      <c r="B307" s="43"/>
      <c r="C307" s="39"/>
      <c r="D307" s="39"/>
      <c r="E307" s="39"/>
      <c r="F307" s="39"/>
      <c r="G307" s="39"/>
    </row>
    <row r="308" spans="1:7">
      <c r="A308" s="80"/>
      <c r="B308" s="43"/>
      <c r="C308" s="39"/>
      <c r="D308" s="39"/>
      <c r="E308" s="39"/>
      <c r="F308" s="39"/>
      <c r="G308" s="39"/>
    </row>
    <row r="309" spans="1:7">
      <c r="A309" s="80"/>
      <c r="B309" s="43"/>
      <c r="C309" s="39"/>
      <c r="D309" s="39"/>
      <c r="E309" s="39"/>
      <c r="F309" s="39"/>
      <c r="G309" s="39"/>
    </row>
    <row r="310" spans="1:7">
      <c r="A310" s="80"/>
      <c r="B310" s="43"/>
      <c r="C310" s="39"/>
      <c r="D310" s="39"/>
      <c r="E310" s="39"/>
      <c r="F310" s="39"/>
      <c r="G310" s="39"/>
    </row>
    <row r="311" spans="1:7">
      <c r="A311" s="80"/>
      <c r="B311" s="43"/>
      <c r="C311" s="39"/>
      <c r="D311" s="39"/>
      <c r="E311" s="39"/>
      <c r="F311" s="39"/>
      <c r="G311" s="39"/>
    </row>
    <row r="312" spans="1:7">
      <c r="A312" s="80"/>
      <c r="B312" s="43"/>
      <c r="C312" s="39"/>
      <c r="D312" s="39"/>
      <c r="E312" s="39"/>
      <c r="F312" s="39"/>
      <c r="G312" s="39"/>
    </row>
    <row r="313" spans="1:7">
      <c r="A313" s="80"/>
      <c r="B313" s="43"/>
      <c r="C313" s="39"/>
      <c r="D313" s="39"/>
      <c r="E313" s="39"/>
      <c r="F313" s="39"/>
      <c r="G313" s="39"/>
    </row>
    <row r="314" spans="1:7">
      <c r="A314" s="80"/>
      <c r="B314" s="43"/>
      <c r="C314" s="39"/>
      <c r="D314" s="39"/>
      <c r="E314" s="39"/>
      <c r="F314" s="39"/>
      <c r="G314" s="39"/>
    </row>
    <row r="315" spans="1:7">
      <c r="A315" s="80"/>
      <c r="B315" s="43"/>
      <c r="C315" s="39"/>
      <c r="D315" s="39"/>
      <c r="E315" s="39"/>
      <c r="F315" s="39"/>
      <c r="G315" s="39"/>
    </row>
    <row r="316" spans="1:7">
      <c r="A316" s="80"/>
      <c r="B316" s="43"/>
      <c r="C316" s="39"/>
      <c r="D316" s="39"/>
      <c r="E316" s="39"/>
      <c r="F316" s="39"/>
      <c r="G316" s="39"/>
    </row>
    <row r="317" spans="1:7">
      <c r="A317" s="80"/>
      <c r="B317" s="43"/>
      <c r="C317" s="39"/>
      <c r="D317" s="39"/>
      <c r="E317" s="39"/>
      <c r="F317" s="39"/>
      <c r="G317" s="39"/>
    </row>
    <row r="318" spans="1:7">
      <c r="A318" s="80"/>
      <c r="B318" s="43"/>
      <c r="C318" s="39"/>
      <c r="D318" s="39"/>
      <c r="E318" s="39"/>
      <c r="F318" s="39"/>
      <c r="G318" s="39"/>
    </row>
    <row r="319" spans="1:7">
      <c r="A319" s="80"/>
      <c r="B319" s="43"/>
      <c r="C319" s="39"/>
      <c r="D319" s="39"/>
      <c r="E319" s="39"/>
      <c r="F319" s="39"/>
      <c r="G319" s="39"/>
    </row>
    <row r="320" spans="1:7">
      <c r="A320" s="80"/>
      <c r="B320" s="43"/>
      <c r="C320" s="39"/>
      <c r="D320" s="39"/>
      <c r="E320" s="39"/>
      <c r="F320" s="39"/>
      <c r="G320" s="39"/>
    </row>
    <row r="321" spans="1:7">
      <c r="A321" s="80"/>
      <c r="B321" s="43"/>
      <c r="C321" s="39"/>
      <c r="D321" s="39"/>
      <c r="E321" s="39"/>
      <c r="F321" s="39"/>
      <c r="G321" s="39"/>
    </row>
    <row r="322" spans="1:7">
      <c r="A322" s="80"/>
      <c r="B322" s="43"/>
      <c r="C322" s="39"/>
      <c r="D322" s="39"/>
      <c r="E322" s="39"/>
      <c r="F322" s="39"/>
      <c r="G322" s="39"/>
    </row>
    <row r="323" spans="1:7">
      <c r="A323" s="80"/>
      <c r="B323" s="43"/>
      <c r="C323" s="39"/>
      <c r="D323" s="39"/>
      <c r="E323" s="39"/>
      <c r="F323" s="39"/>
      <c r="G323" s="39"/>
    </row>
    <row r="324" spans="1:7">
      <c r="A324" s="80"/>
      <c r="B324" s="43"/>
      <c r="C324" s="39"/>
      <c r="D324" s="39"/>
      <c r="E324" s="39"/>
      <c r="F324" s="39"/>
      <c r="G324" s="39"/>
    </row>
    <row r="325" spans="1:7">
      <c r="A325" s="80"/>
      <c r="B325" s="43"/>
      <c r="C325" s="39"/>
      <c r="D325" s="39"/>
      <c r="E325" s="39"/>
      <c r="F325" s="39"/>
      <c r="G325" s="39"/>
    </row>
    <row r="326" spans="1:7">
      <c r="A326" s="80"/>
      <c r="B326" s="43"/>
      <c r="C326" s="39"/>
      <c r="D326" s="39"/>
      <c r="E326" s="39"/>
      <c r="F326" s="39"/>
      <c r="G326" s="39"/>
    </row>
    <row r="327" spans="1:7">
      <c r="A327" s="80"/>
      <c r="B327" s="43"/>
      <c r="C327" s="39"/>
      <c r="D327" s="39"/>
      <c r="E327" s="39"/>
      <c r="F327" s="39"/>
      <c r="G327" s="39"/>
    </row>
    <row r="328" spans="1:7">
      <c r="A328" s="80"/>
      <c r="B328" s="43"/>
      <c r="C328" s="39"/>
      <c r="D328" s="39"/>
      <c r="E328" s="39"/>
      <c r="F328" s="39"/>
      <c r="G328" s="39"/>
    </row>
    <row r="329" spans="1:7">
      <c r="A329" s="80"/>
      <c r="B329" s="43"/>
      <c r="C329" s="39"/>
      <c r="D329" s="39"/>
      <c r="E329" s="39"/>
      <c r="F329" s="39"/>
      <c r="G329" s="39"/>
    </row>
    <row r="330" spans="1:7">
      <c r="A330" s="80"/>
      <c r="B330" s="43"/>
      <c r="C330" s="39"/>
      <c r="D330" s="39"/>
      <c r="E330" s="39"/>
      <c r="F330" s="39"/>
      <c r="G330" s="39"/>
    </row>
    <row r="331" spans="1:7">
      <c r="A331" s="80"/>
      <c r="B331" s="43"/>
      <c r="C331" s="39"/>
      <c r="D331" s="39"/>
      <c r="E331" s="39"/>
      <c r="F331" s="39"/>
      <c r="G331" s="39"/>
    </row>
    <row r="332" spans="1:7">
      <c r="A332" s="80"/>
      <c r="B332" s="43"/>
      <c r="C332" s="39"/>
      <c r="D332" s="39"/>
      <c r="E332" s="39"/>
      <c r="F332" s="39"/>
      <c r="G332" s="39"/>
    </row>
    <row r="333" spans="1:7">
      <c r="A333" s="80"/>
      <c r="B333" s="43"/>
      <c r="C333" s="39"/>
      <c r="D333" s="39"/>
      <c r="E333" s="39"/>
      <c r="F333" s="39"/>
      <c r="G333" s="39"/>
    </row>
    <row r="334" spans="1:7">
      <c r="A334" s="80"/>
      <c r="B334" s="43"/>
      <c r="C334" s="39"/>
      <c r="D334" s="39"/>
      <c r="E334" s="39"/>
      <c r="F334" s="39"/>
      <c r="G334" s="39"/>
    </row>
    <row r="335" spans="1:7">
      <c r="A335" s="80"/>
      <c r="B335" s="43"/>
      <c r="C335" s="39"/>
      <c r="D335" s="39"/>
      <c r="E335" s="39"/>
      <c r="F335" s="39"/>
      <c r="G335" s="39"/>
    </row>
    <row r="336" spans="1:7">
      <c r="A336" s="80"/>
      <c r="B336" s="43"/>
      <c r="C336" s="39"/>
      <c r="D336" s="39"/>
      <c r="E336" s="39"/>
      <c r="F336" s="39"/>
      <c r="G336" s="39"/>
    </row>
    <row r="337" spans="1:7">
      <c r="A337" s="80"/>
      <c r="B337" s="43"/>
      <c r="C337" s="39"/>
      <c r="D337" s="39"/>
      <c r="E337" s="39"/>
      <c r="F337" s="39"/>
      <c r="G337" s="39"/>
    </row>
    <row r="338" spans="1:7">
      <c r="A338" s="80"/>
      <c r="B338" s="43"/>
      <c r="C338" s="39"/>
      <c r="D338" s="39"/>
      <c r="E338" s="39"/>
      <c r="F338" s="39"/>
      <c r="G338" s="39"/>
    </row>
    <row r="339" spans="1:7">
      <c r="A339" s="80"/>
      <c r="B339" s="43"/>
      <c r="C339" s="39"/>
      <c r="D339" s="39"/>
      <c r="E339" s="39"/>
      <c r="F339" s="39"/>
      <c r="G339" s="39"/>
    </row>
    <row r="340" spans="1:7">
      <c r="A340" s="80"/>
      <c r="B340" s="43"/>
      <c r="C340" s="39"/>
      <c r="D340" s="39"/>
      <c r="E340" s="39"/>
      <c r="F340" s="39"/>
      <c r="G340" s="39"/>
    </row>
    <row r="341" spans="1:7">
      <c r="A341" s="80"/>
      <c r="B341" s="43"/>
      <c r="C341" s="39"/>
      <c r="D341" s="39"/>
      <c r="E341" s="39"/>
      <c r="F341" s="39"/>
      <c r="G341" s="39"/>
    </row>
    <row r="342" spans="1:7">
      <c r="A342" s="80"/>
      <c r="B342" s="43"/>
      <c r="C342" s="39"/>
      <c r="D342" s="39"/>
      <c r="E342" s="39"/>
      <c r="F342" s="39"/>
      <c r="G342" s="39"/>
    </row>
    <row r="343" spans="1:7">
      <c r="A343" s="80"/>
      <c r="B343" s="43"/>
      <c r="C343" s="39"/>
      <c r="D343" s="39"/>
      <c r="E343" s="39"/>
      <c r="F343" s="39"/>
      <c r="G343" s="39"/>
    </row>
    <row r="344" spans="1:7">
      <c r="A344" s="80"/>
      <c r="B344" s="43"/>
      <c r="C344" s="39"/>
      <c r="D344" s="39"/>
      <c r="E344" s="39"/>
      <c r="F344" s="39"/>
      <c r="G344" s="39"/>
    </row>
    <row r="345" spans="1:7">
      <c r="A345" s="80"/>
      <c r="B345" s="43"/>
      <c r="C345" s="39"/>
      <c r="D345" s="39"/>
      <c r="E345" s="39"/>
      <c r="F345" s="39"/>
      <c r="G345" s="39"/>
    </row>
    <row r="346" spans="1:7">
      <c r="A346" s="80"/>
      <c r="B346" s="43"/>
      <c r="C346" s="39"/>
      <c r="D346" s="39"/>
      <c r="E346" s="39"/>
      <c r="F346" s="39"/>
      <c r="G346" s="39"/>
    </row>
    <row r="347" spans="1:7">
      <c r="A347" s="80"/>
      <c r="B347" s="43"/>
      <c r="C347" s="39"/>
      <c r="D347" s="39"/>
      <c r="E347" s="39"/>
      <c r="F347" s="39"/>
      <c r="G347" s="39"/>
    </row>
    <row r="348" spans="1:7">
      <c r="A348" s="80"/>
      <c r="B348" s="43"/>
      <c r="C348" s="39"/>
      <c r="D348" s="39"/>
      <c r="E348" s="39"/>
      <c r="F348" s="39"/>
      <c r="G348" s="39"/>
    </row>
    <row r="349" spans="1:7">
      <c r="A349" s="80"/>
      <c r="B349" s="43"/>
      <c r="C349" s="39"/>
      <c r="D349" s="39"/>
      <c r="E349" s="39"/>
      <c r="F349" s="39"/>
      <c r="G349" s="39"/>
    </row>
    <row r="350" spans="1:7">
      <c r="A350" s="80"/>
      <c r="B350" s="43"/>
      <c r="C350" s="39"/>
      <c r="D350" s="39"/>
      <c r="E350" s="39"/>
      <c r="F350" s="39"/>
      <c r="G350" s="39"/>
    </row>
    <row r="351" spans="1:7">
      <c r="A351" s="80"/>
      <c r="B351" s="43"/>
      <c r="C351" s="39"/>
      <c r="D351" s="39"/>
      <c r="E351" s="39"/>
      <c r="F351" s="39"/>
      <c r="G351" s="39"/>
    </row>
    <row r="352" spans="1:7">
      <c r="A352" s="80"/>
      <c r="B352" s="43"/>
      <c r="C352" s="39"/>
      <c r="D352" s="39"/>
      <c r="E352" s="39"/>
      <c r="F352" s="39"/>
      <c r="G352" s="39"/>
    </row>
    <row r="353" spans="1:7">
      <c r="A353" s="80"/>
      <c r="B353" s="43"/>
      <c r="C353" s="39"/>
      <c r="D353" s="39"/>
      <c r="E353" s="39"/>
      <c r="F353" s="39"/>
      <c r="G353" s="39"/>
    </row>
    <row r="354" spans="1:7">
      <c r="A354" s="80"/>
      <c r="B354" s="43"/>
      <c r="C354" s="39"/>
      <c r="D354" s="39"/>
      <c r="E354" s="39"/>
      <c r="F354" s="39"/>
      <c r="G354" s="39"/>
    </row>
    <row r="355" spans="1:7">
      <c r="A355" s="80"/>
      <c r="B355" s="43"/>
      <c r="C355" s="39"/>
      <c r="D355" s="39"/>
      <c r="E355" s="39"/>
      <c r="F355" s="39"/>
      <c r="G355" s="39"/>
    </row>
    <row r="356" spans="1:7">
      <c r="A356" s="80"/>
      <c r="B356" s="43"/>
      <c r="C356" s="39"/>
      <c r="D356" s="39"/>
      <c r="E356" s="39"/>
      <c r="F356" s="39"/>
      <c r="G356" s="39"/>
    </row>
    <row r="357" spans="1:7">
      <c r="A357" s="80"/>
      <c r="B357" s="43"/>
      <c r="C357" s="39"/>
      <c r="D357" s="39"/>
      <c r="E357" s="39"/>
      <c r="F357" s="39"/>
      <c r="G357" s="39"/>
    </row>
    <row r="358" spans="1:7">
      <c r="A358" s="80"/>
      <c r="B358" s="43"/>
      <c r="C358" s="39"/>
      <c r="D358" s="39"/>
      <c r="E358" s="39"/>
      <c r="F358" s="39"/>
      <c r="G358" s="39"/>
    </row>
    <row r="359" spans="1:7">
      <c r="A359" s="80"/>
      <c r="B359" s="43"/>
      <c r="C359" s="39"/>
      <c r="D359" s="39"/>
      <c r="E359" s="39"/>
      <c r="F359" s="39"/>
      <c r="G359" s="39"/>
    </row>
    <row r="360" spans="1:7">
      <c r="A360" s="80"/>
      <c r="B360" s="43"/>
      <c r="C360" s="39"/>
      <c r="D360" s="39"/>
      <c r="E360" s="39"/>
      <c r="F360" s="39"/>
      <c r="G360" s="39"/>
    </row>
    <row r="361" spans="1:7">
      <c r="A361" s="80"/>
      <c r="B361" s="43"/>
      <c r="C361" s="39"/>
      <c r="D361" s="39"/>
      <c r="E361" s="39"/>
      <c r="F361" s="39"/>
      <c r="G361" s="39"/>
    </row>
    <row r="362" spans="1:7">
      <c r="A362" s="80"/>
      <c r="B362" s="43"/>
      <c r="C362" s="39"/>
      <c r="D362" s="39"/>
      <c r="E362" s="39"/>
      <c r="F362" s="39"/>
      <c r="G362" s="39"/>
    </row>
    <row r="363" spans="1:7">
      <c r="A363" s="80"/>
      <c r="B363" s="43"/>
      <c r="C363" s="39"/>
      <c r="D363" s="39"/>
      <c r="E363" s="39"/>
      <c r="F363" s="39"/>
      <c r="G363" s="39"/>
    </row>
    <row r="364" spans="1:7">
      <c r="A364" s="80"/>
      <c r="B364" s="43"/>
      <c r="C364" s="39"/>
      <c r="D364" s="39"/>
      <c r="E364" s="39"/>
      <c r="F364" s="39"/>
      <c r="G364" s="39"/>
    </row>
    <row r="365" spans="1:7">
      <c r="A365" s="80"/>
      <c r="B365" s="43"/>
      <c r="C365" s="39"/>
      <c r="D365" s="39"/>
      <c r="E365" s="39"/>
      <c r="F365" s="39"/>
      <c r="G365" s="39"/>
    </row>
    <row r="366" spans="1:7">
      <c r="A366" s="80"/>
      <c r="B366" s="43"/>
      <c r="C366" s="39"/>
      <c r="D366" s="39"/>
      <c r="E366" s="39"/>
      <c r="F366" s="39"/>
      <c r="G366" s="39"/>
    </row>
    <row r="367" spans="1:7">
      <c r="A367" s="80"/>
      <c r="B367" s="43"/>
      <c r="C367" s="39"/>
      <c r="D367" s="39"/>
      <c r="E367" s="39"/>
      <c r="F367" s="39"/>
      <c r="G367" s="39"/>
    </row>
    <row r="368" spans="1:7">
      <c r="A368" s="80"/>
      <c r="B368" s="43"/>
      <c r="C368" s="39"/>
      <c r="D368" s="39"/>
      <c r="E368" s="39"/>
      <c r="F368" s="39"/>
      <c r="G368" s="39"/>
    </row>
    <row r="369" spans="1:7">
      <c r="A369" s="80"/>
      <c r="B369" s="43"/>
      <c r="C369" s="39"/>
      <c r="D369" s="39"/>
      <c r="E369" s="39"/>
      <c r="F369" s="39"/>
      <c r="G369" s="39"/>
    </row>
    <row r="370" spans="1:7">
      <c r="A370" s="80"/>
      <c r="B370" s="43"/>
      <c r="C370" s="39"/>
      <c r="D370" s="39"/>
      <c r="E370" s="39"/>
      <c r="F370" s="39"/>
      <c r="G370" s="39"/>
    </row>
    <row r="371" spans="1:7">
      <c r="A371" s="80"/>
      <c r="B371" s="43"/>
      <c r="C371" s="39"/>
      <c r="D371" s="39"/>
      <c r="E371" s="39"/>
      <c r="F371" s="39"/>
      <c r="G371" s="39"/>
    </row>
    <row r="372" spans="1:7">
      <c r="A372" s="80"/>
      <c r="B372" s="43"/>
      <c r="C372" s="39"/>
      <c r="D372" s="39"/>
      <c r="E372" s="39"/>
      <c r="F372" s="39"/>
      <c r="G372" s="39"/>
    </row>
    <row r="373" spans="1:7">
      <c r="A373" s="80"/>
      <c r="B373" s="43"/>
      <c r="C373" s="39"/>
      <c r="D373" s="39"/>
      <c r="E373" s="39"/>
      <c r="F373" s="39"/>
      <c r="G373" s="39"/>
    </row>
  </sheetData>
  <mergeCells count="155">
    <mergeCell ref="H240:H241"/>
    <mergeCell ref="H181:H182"/>
    <mergeCell ref="A29:A30"/>
    <mergeCell ref="B39:B41"/>
    <mergeCell ref="C39:C41"/>
    <mergeCell ref="A39:A41"/>
    <mergeCell ref="H125:H127"/>
    <mergeCell ref="H130:H132"/>
    <mergeCell ref="H140:H142"/>
    <mergeCell ref="D125:D127"/>
    <mergeCell ref="B43:B44"/>
    <mergeCell ref="A43:A44"/>
    <mergeCell ref="B73:B74"/>
    <mergeCell ref="B65:B66"/>
    <mergeCell ref="F140:F142"/>
    <mergeCell ref="B137:B138"/>
    <mergeCell ref="C137:C138"/>
    <mergeCell ref="D140:D142"/>
    <mergeCell ref="B125:B127"/>
    <mergeCell ref="C125:C127"/>
    <mergeCell ref="A153:A155"/>
    <mergeCell ref="B153:B155"/>
    <mergeCell ref="A86:A89"/>
    <mergeCell ref="A73:A74"/>
    <mergeCell ref="A11:H11"/>
    <mergeCell ref="D130:D132"/>
    <mergeCell ref="E140:E142"/>
    <mergeCell ref="E125:E127"/>
    <mergeCell ref="C73:C74"/>
    <mergeCell ref="C65:C66"/>
    <mergeCell ref="A65:A66"/>
    <mergeCell ref="C86:C89"/>
    <mergeCell ref="B86:B89"/>
    <mergeCell ref="C140:C142"/>
    <mergeCell ref="C94:C97"/>
    <mergeCell ref="A26:A28"/>
    <mergeCell ref="B26:B28"/>
    <mergeCell ref="C26:C28"/>
    <mergeCell ref="G140:G142"/>
    <mergeCell ref="F125:F127"/>
    <mergeCell ref="G125:G127"/>
    <mergeCell ref="E130:E132"/>
    <mergeCell ref="F130:F132"/>
    <mergeCell ref="G130:G132"/>
    <mergeCell ref="B29:B30"/>
    <mergeCell ref="C29:C30"/>
    <mergeCell ref="B78:B79"/>
    <mergeCell ref="A78:A79"/>
    <mergeCell ref="A140:A142"/>
    <mergeCell ref="A137:A138"/>
    <mergeCell ref="A263:A264"/>
    <mergeCell ref="C130:C132"/>
    <mergeCell ref="B118:B121"/>
    <mergeCell ref="B94:B97"/>
    <mergeCell ref="B140:B142"/>
    <mergeCell ref="A94:A97"/>
    <mergeCell ref="A98:A99"/>
    <mergeCell ref="A100:A101"/>
    <mergeCell ref="A118:A121"/>
    <mergeCell ref="A130:A132"/>
    <mergeCell ref="A125:A127"/>
    <mergeCell ref="B100:B101"/>
    <mergeCell ref="C100:C101"/>
    <mergeCell ref="A214:A216"/>
    <mergeCell ref="A260:A262"/>
    <mergeCell ref="B256:B258"/>
    <mergeCell ref="C256:C258"/>
    <mergeCell ref="A240:A241"/>
    <mergeCell ref="B240:B241"/>
    <mergeCell ref="B170:B171"/>
    <mergeCell ref="B98:B99"/>
    <mergeCell ref="C98:C99"/>
    <mergeCell ref="C238:C239"/>
    <mergeCell ref="B238:B239"/>
    <mergeCell ref="B174:B175"/>
    <mergeCell ref="A174:A175"/>
    <mergeCell ref="C174:C175"/>
    <mergeCell ref="B176:B177"/>
    <mergeCell ref="A176:A177"/>
    <mergeCell ref="C176:C177"/>
    <mergeCell ref="A170:A171"/>
    <mergeCell ref="C210:C211"/>
    <mergeCell ref="B210:B211"/>
    <mergeCell ref="B253:B254"/>
    <mergeCell ref="C253:C254"/>
    <mergeCell ref="D253:D254"/>
    <mergeCell ref="A253:A254"/>
    <mergeCell ref="E181:E182"/>
    <mergeCell ref="C181:C182"/>
    <mergeCell ref="F181:F182"/>
    <mergeCell ref="G181:G182"/>
    <mergeCell ref="C153:C155"/>
    <mergeCell ref="A222:A224"/>
    <mergeCell ref="C201:C202"/>
    <mergeCell ref="A181:A182"/>
    <mergeCell ref="B201:B202"/>
    <mergeCell ref="B205:B206"/>
    <mergeCell ref="A205:A206"/>
    <mergeCell ref="C205:C206"/>
    <mergeCell ref="G240:G241"/>
    <mergeCell ref="A245:A246"/>
    <mergeCell ref="B245:B246"/>
    <mergeCell ref="B247:B248"/>
    <mergeCell ref="A247:A248"/>
    <mergeCell ref="C247:C248"/>
    <mergeCell ref="B243:B244"/>
    <mergeCell ref="A243:A244"/>
    <mergeCell ref="C243:C244"/>
    <mergeCell ref="H70:H71"/>
    <mergeCell ref="A70:A71"/>
    <mergeCell ref="C263:C264"/>
    <mergeCell ref="B181:B182"/>
    <mergeCell ref="E245:E246"/>
    <mergeCell ref="C245:C246"/>
    <mergeCell ref="C230:C232"/>
    <mergeCell ref="B230:B232"/>
    <mergeCell ref="B236:B237"/>
    <mergeCell ref="C236:C237"/>
    <mergeCell ref="B214:B216"/>
    <mergeCell ref="C214:C216"/>
    <mergeCell ref="B222:B224"/>
    <mergeCell ref="C222:C224"/>
    <mergeCell ref="B263:B264"/>
    <mergeCell ref="D181:D182"/>
    <mergeCell ref="C170:C171"/>
    <mergeCell ref="D240:D241"/>
    <mergeCell ref="E240:E241"/>
    <mergeCell ref="C260:C262"/>
    <mergeCell ref="E247:E248"/>
    <mergeCell ref="B260:B262"/>
    <mergeCell ref="A256:A258"/>
    <mergeCell ref="G70:G71"/>
    <mergeCell ref="E73:E74"/>
    <mergeCell ref="F240:F241"/>
    <mergeCell ref="B80:B81"/>
    <mergeCell ref="A80:A81"/>
    <mergeCell ref="C80:C81"/>
    <mergeCell ref="C70:C71"/>
    <mergeCell ref="B70:B71"/>
    <mergeCell ref="D70:D71"/>
    <mergeCell ref="E70:E71"/>
    <mergeCell ref="F70:F71"/>
    <mergeCell ref="C118:C121"/>
    <mergeCell ref="B130:B132"/>
    <mergeCell ref="C240:C241"/>
    <mergeCell ref="B197:B199"/>
    <mergeCell ref="C197:C199"/>
    <mergeCell ref="A197:A199"/>
    <mergeCell ref="A201:A202"/>
    <mergeCell ref="A236:A237"/>
    <mergeCell ref="A238:A239"/>
    <mergeCell ref="A230:A232"/>
    <mergeCell ref="A193:A194"/>
    <mergeCell ref="B193:B194"/>
    <mergeCell ref="C193:C194"/>
  </mergeCells>
  <printOptions horizontalCentered="1"/>
  <pageMargins left="0.35433070866141736" right="0.39370078740157483" top="0.35433070866141736" bottom="0.19685039370078741" header="0.15748031496062992" footer="0.19685039370078741"/>
  <pageSetup paperSize="9" scale="78" fitToHeight="30" orientation="landscape" r:id="rId1"/>
  <rowBreaks count="10" manualBreakCount="10">
    <brk id="53" max="7" man="1"/>
    <brk id="64" max="7" man="1"/>
    <brk id="83" max="7" man="1"/>
    <brk id="109" max="7" man="1"/>
    <brk id="124" max="7" man="1"/>
    <brk id="150" max="7" man="1"/>
    <brk id="171" max="7" man="1"/>
    <brk id="194" max="7" man="1"/>
    <brk id="217" max="7" man="1"/>
    <brk id="246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приложение 3</vt:lpstr>
      <vt:lpstr>приложение 4</vt:lpstr>
      <vt:lpstr>приложение 5</vt:lpstr>
      <vt:lpstr>'приложение 3'!Заголовки_для_печати</vt:lpstr>
      <vt:lpstr>'приложение 4'!Заголовки_для_печати</vt:lpstr>
      <vt:lpstr>'приложение 5'!Заголовки_для_печати</vt:lpstr>
      <vt:lpstr>'приложение 3'!Область_печати</vt:lpstr>
      <vt:lpstr>'приложение 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2024-09-04T04:39:32Z</dcterms:modified>
</cp:coreProperties>
</file>