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8055" activeTab="2"/>
  </bookViews>
  <sheets>
    <sheet name="приложение 3" sheetId="3" r:id="rId1"/>
    <sheet name="приложение 4" sheetId="1" r:id="rId2"/>
    <sheet name="приложение 5" sheetId="2" r:id="rId3"/>
  </sheets>
  <definedNames>
    <definedName name="_xlnm._FilterDatabase" localSheetId="1" hidden="1">'приложение 4'!$A$14:$L$724</definedName>
    <definedName name="_xlnm._FilterDatabase" localSheetId="2" hidden="1">'приложение 5'!$A$14:$I$270</definedName>
    <definedName name="_xlnm.Print_Titles" localSheetId="0">'приложение 3'!$14:$15</definedName>
    <definedName name="_xlnm.Print_Titles" localSheetId="1">'приложение 4'!$15:$16</definedName>
    <definedName name="_xlnm.Print_Titles" localSheetId="2">'приложение 5'!$13:$14</definedName>
    <definedName name="_xlnm.Print_Area" localSheetId="0">'приложение 3'!$A$1:$F$66</definedName>
    <definedName name="_xlnm.Print_Area" localSheetId="1">'приложение 4'!$A$1:$I$721</definedName>
    <definedName name="_xlnm.Print_Area" localSheetId="2">'приложение 5'!$A$1:$H$270</definedName>
  </definedNames>
  <calcPr calcId="125725"/>
</workbook>
</file>

<file path=xl/calcChain.xml><?xml version="1.0" encoding="utf-8"?>
<calcChain xmlns="http://schemas.openxmlformats.org/spreadsheetml/2006/main">
  <c r="B17" i="2"/>
  <c r="G189" l="1"/>
  <c r="H189"/>
  <c r="F190"/>
  <c r="G294" i="1"/>
  <c r="G257"/>
  <c r="H262"/>
  <c r="I262"/>
  <c r="H261"/>
  <c r="I261"/>
  <c r="G262"/>
  <c r="G261" s="1"/>
  <c r="H698" l="1"/>
  <c r="H438" l="1"/>
  <c r="G158" i="2"/>
  <c r="H158"/>
  <c r="F158"/>
  <c r="H198" i="1"/>
  <c r="I198"/>
  <c r="H199"/>
  <c r="I199"/>
  <c r="G199"/>
  <c r="G198" s="1"/>
  <c r="G197"/>
  <c r="H458"/>
  <c r="H457" s="1"/>
  <c r="I458"/>
  <c r="I457" s="1"/>
  <c r="G458"/>
  <c r="F56" i="2" s="1"/>
  <c r="G438" i="1"/>
  <c r="G457" l="1"/>
  <c r="H56" i="2"/>
  <c r="G56"/>
  <c r="G210"/>
  <c r="G297" i="1"/>
  <c r="H72"/>
  <c r="I72"/>
  <c r="G72"/>
  <c r="H75"/>
  <c r="I75"/>
  <c r="H73"/>
  <c r="I73"/>
  <c r="H78"/>
  <c r="H77" s="1"/>
  <c r="I78"/>
  <c r="I77" s="1"/>
  <c r="H210" i="2" s="1"/>
  <c r="G78" i="1"/>
  <c r="G77" s="1"/>
  <c r="G76" s="1"/>
  <c r="G75" s="1"/>
  <c r="G74" s="1"/>
  <c r="G73" s="1"/>
  <c r="F210" i="2" l="1"/>
  <c r="G154" i="1"/>
  <c r="G246"/>
  <c r="G115" l="1"/>
  <c r="G698"/>
  <c r="G602"/>
  <c r="G596"/>
  <c r="G623"/>
  <c r="G630"/>
  <c r="G376" l="1"/>
  <c r="G371"/>
  <c r="G444"/>
  <c r="G441"/>
  <c r="G530"/>
  <c r="H511"/>
  <c r="H510" s="1"/>
  <c r="G77" i="2" s="1"/>
  <c r="I511" i="1"/>
  <c r="I510" s="1"/>
  <c r="H77" i="2" s="1"/>
  <c r="G511" i="1"/>
  <c r="G510" s="1"/>
  <c r="F77" i="2" s="1"/>
  <c r="H505" i="1"/>
  <c r="H504" s="1"/>
  <c r="G75" i="2" s="1"/>
  <c r="I505" i="1"/>
  <c r="I504" s="1"/>
  <c r="H75" i="2" s="1"/>
  <c r="G505" i="1"/>
  <c r="G504" s="1"/>
  <c r="F75" i="2" s="1"/>
  <c r="H539" i="1"/>
  <c r="H538" s="1"/>
  <c r="G90" i="2" s="1"/>
  <c r="I539" i="1"/>
  <c r="G539"/>
  <c r="G538" s="1"/>
  <c r="F90" i="2" s="1"/>
  <c r="I538" i="1"/>
  <c r="H90" i="2" s="1"/>
  <c r="H508" i="1"/>
  <c r="H507" s="1"/>
  <c r="G76" i="2" s="1"/>
  <c r="I508" i="1"/>
  <c r="I507" s="1"/>
  <c r="H76" i="2" s="1"/>
  <c r="G508" i="1"/>
  <c r="G507" s="1"/>
  <c r="F76" i="2" s="1"/>
  <c r="H455" i="1" l="1"/>
  <c r="H454" s="1"/>
  <c r="G55" i="2" s="1"/>
  <c r="I455" i="1"/>
  <c r="I454" s="1"/>
  <c r="H55" i="2" s="1"/>
  <c r="G455" i="1"/>
  <c r="G454" s="1"/>
  <c r="F55" i="2" s="1"/>
  <c r="G543" i="1"/>
  <c r="G488"/>
  <c r="G470"/>
  <c r="G81" i="2" l="1"/>
  <c r="H81"/>
  <c r="F81"/>
  <c r="G83"/>
  <c r="H83"/>
  <c r="F83"/>
  <c r="C83"/>
  <c r="B83"/>
  <c r="G80" l="1"/>
  <c r="I519" i="1"/>
  <c r="I518" s="1"/>
  <c r="I517" s="1"/>
  <c r="I516" s="1"/>
  <c r="H519"/>
  <c r="H518" s="1"/>
  <c r="H517" s="1"/>
  <c r="H516" s="1"/>
  <c r="G519"/>
  <c r="G518" s="1"/>
  <c r="G517" s="1"/>
  <c r="G516" s="1"/>
  <c r="H502"/>
  <c r="H501" s="1"/>
  <c r="I502"/>
  <c r="I501" s="1"/>
  <c r="G502"/>
  <c r="G501" s="1"/>
  <c r="H545"/>
  <c r="H544" s="1"/>
  <c r="G92" i="2" s="1"/>
  <c r="I545" i="1"/>
  <c r="I544" s="1"/>
  <c r="H92" i="2" s="1"/>
  <c r="G545" i="1"/>
  <c r="G544" s="1"/>
  <c r="F92" i="2" s="1"/>
  <c r="H571" i="1"/>
  <c r="H570" s="1"/>
  <c r="I571"/>
  <c r="I570" s="1"/>
  <c r="G571"/>
  <c r="G570" s="1"/>
  <c r="H574"/>
  <c r="I574"/>
  <c r="G574"/>
  <c r="G577"/>
  <c r="I569"/>
  <c r="H569"/>
  <c r="G569"/>
  <c r="I566"/>
  <c r="H566"/>
  <c r="I564"/>
  <c r="H564"/>
  <c r="G566"/>
  <c r="G564"/>
  <c r="G526"/>
  <c r="G500"/>
  <c r="G491"/>
  <c r="G479"/>
  <c r="G497"/>
  <c r="G485"/>
  <c r="F79" i="2" l="1"/>
  <c r="H79"/>
  <c r="G79"/>
  <c r="F253"/>
  <c r="I463" i="1"/>
  <c r="I462" s="1"/>
  <c r="H463"/>
  <c r="H462" s="1"/>
  <c r="G463"/>
  <c r="G462" s="1"/>
  <c r="G450"/>
  <c r="G447"/>
  <c r="H654"/>
  <c r="H653" s="1"/>
  <c r="G38" i="2" s="1"/>
  <c r="I654" i="1"/>
  <c r="I653" s="1"/>
  <c r="H38" i="2" s="1"/>
  <c r="G654" i="1"/>
  <c r="G653" s="1"/>
  <c r="F38" i="2" s="1"/>
  <c r="H651" i="1"/>
  <c r="H650" s="1"/>
  <c r="G37" i="2" s="1"/>
  <c r="I651" i="1"/>
  <c r="I650" s="1"/>
  <c r="H37" i="2" s="1"/>
  <c r="G651" i="1"/>
  <c r="G650" s="1"/>
  <c r="F37" i="2" s="1"/>
  <c r="G640" i="1"/>
  <c r="G612"/>
  <c r="G418"/>
  <c r="G420"/>
  <c r="I361"/>
  <c r="H361"/>
  <c r="G361"/>
  <c r="I331"/>
  <c r="H331"/>
  <c r="G331"/>
  <c r="I325"/>
  <c r="H325"/>
  <c r="G325"/>
  <c r="G312"/>
  <c r="G310"/>
  <c r="G290"/>
  <c r="G288"/>
  <c r="G255"/>
  <c r="G190"/>
  <c r="G188"/>
  <c r="G173"/>
  <c r="G139"/>
  <c r="G137"/>
  <c r="I120"/>
  <c r="I119" s="1"/>
  <c r="H120"/>
  <c r="H119" s="1"/>
  <c r="G120"/>
  <c r="G119" s="1"/>
  <c r="G109"/>
  <c r="I92"/>
  <c r="I91" s="1"/>
  <c r="H17" i="2" s="1"/>
  <c r="H92" i="1"/>
  <c r="H91" s="1"/>
  <c r="G17" i="2" s="1"/>
  <c r="G92" i="1"/>
  <c r="G91" s="1"/>
  <c r="F17" i="2" s="1"/>
  <c r="I51" i="1"/>
  <c r="I50" s="1"/>
  <c r="H51"/>
  <c r="H50" s="1"/>
  <c r="G51"/>
  <c r="G50" s="1"/>
  <c r="G58"/>
  <c r="G57" s="1"/>
  <c r="G56" s="1"/>
  <c r="G55" s="1"/>
  <c r="G54" s="1"/>
  <c r="H58"/>
  <c r="H57" s="1"/>
  <c r="H56" s="1"/>
  <c r="H55" s="1"/>
  <c r="H54" s="1"/>
  <c r="I58"/>
  <c r="I57" s="1"/>
  <c r="I56" s="1"/>
  <c r="I55" s="1"/>
  <c r="I54" s="1"/>
  <c r="G118" l="1"/>
  <c r="G117" s="1"/>
  <c r="G116" s="1"/>
  <c r="F132" i="2"/>
  <c r="H461" i="1"/>
  <c r="H460" s="1"/>
  <c r="G252" i="2"/>
  <c r="G251" s="1"/>
  <c r="H118" i="1"/>
  <c r="H117" s="1"/>
  <c r="H116" s="1"/>
  <c r="G132" i="2"/>
  <c r="I461" i="1"/>
  <c r="I460" s="1"/>
  <c r="H252" i="2"/>
  <c r="H251" s="1"/>
  <c r="I118" i="1"/>
  <c r="I117" s="1"/>
  <c r="I116" s="1"/>
  <c r="H132" i="2"/>
  <c r="G461" i="1"/>
  <c r="G460" s="1"/>
  <c r="F252" i="2"/>
  <c r="F251" s="1"/>
  <c r="I49" i="1"/>
  <c r="I48" s="1"/>
  <c r="I47" s="1"/>
  <c r="I46" s="1"/>
  <c r="H156" i="2"/>
  <c r="G49" i="1"/>
  <c r="G48" s="1"/>
  <c r="G47" s="1"/>
  <c r="G46" s="1"/>
  <c r="F156" i="2"/>
  <c r="H49" i="1"/>
  <c r="H48" s="1"/>
  <c r="H47" s="1"/>
  <c r="H46" s="1"/>
  <c r="G156" i="2"/>
  <c r="I90" i="1"/>
  <c r="I89" s="1"/>
  <c r="I88" s="1"/>
  <c r="H90"/>
  <c r="H89" s="1"/>
  <c r="H88" s="1"/>
  <c r="G90"/>
  <c r="G89" s="1"/>
  <c r="G88" s="1"/>
  <c r="G87" l="1"/>
  <c r="D59" i="3"/>
  <c r="H87" i="1"/>
  <c r="E59" i="3"/>
  <c r="I87" i="1"/>
  <c r="F59" i="3"/>
  <c r="H688" i="1"/>
  <c r="H135"/>
  <c r="H24"/>
  <c r="G135" l="1"/>
  <c r="G24"/>
  <c r="G688"/>
  <c r="G65" l="1"/>
  <c r="G217"/>
  <c r="G719" l="1"/>
  <c r="G716"/>
  <c r="G713"/>
  <c r="G706"/>
  <c r="G695"/>
  <c r="G142"/>
  <c r="G129"/>
  <c r="G32"/>
  <c r="G476" l="1"/>
  <c r="I623" l="1"/>
  <c r="H623" l="1"/>
  <c r="I470"/>
  <c r="H470"/>
  <c r="I640"/>
  <c r="H640"/>
  <c r="G552" l="1"/>
  <c r="G661"/>
  <c r="G626"/>
  <c r="G593"/>
  <c r="G401"/>
  <c r="G384"/>
  <c r="G369"/>
  <c r="H80" i="2"/>
  <c r="C80"/>
  <c r="H72"/>
  <c r="G72"/>
  <c r="C72"/>
  <c r="I576" i="1"/>
  <c r="I573" s="1"/>
  <c r="H576"/>
  <c r="H573" s="1"/>
  <c r="G576"/>
  <c r="G573" s="1"/>
  <c r="G475"/>
  <c r="G474" s="1"/>
  <c r="F72" i="2" l="1"/>
  <c r="F80"/>
  <c r="I441" i="1"/>
  <c r="H441"/>
  <c r="G359"/>
  <c r="G342"/>
  <c r="G225"/>
  <c r="G391"/>
  <c r="G165"/>
  <c r="G38"/>
  <c r="G337"/>
  <c r="H148"/>
  <c r="G148"/>
  <c r="G160"/>
  <c r="B207" i="2"/>
  <c r="G209" l="1"/>
  <c r="H209"/>
  <c r="F209"/>
  <c r="G208"/>
  <c r="H208"/>
  <c r="F208"/>
  <c r="G207"/>
  <c r="H207"/>
  <c r="F207"/>
  <c r="C209"/>
  <c r="C208"/>
  <c r="C207"/>
  <c r="B209"/>
  <c r="B208"/>
  <c r="C206"/>
  <c r="H302" i="1"/>
  <c r="H301" s="1"/>
  <c r="I302"/>
  <c r="I301" s="1"/>
  <c r="G302"/>
  <c r="G301" s="1"/>
  <c r="H299"/>
  <c r="H298" s="1"/>
  <c r="I299"/>
  <c r="I298" s="1"/>
  <c r="G299"/>
  <c r="G298" s="1"/>
  <c r="H296"/>
  <c r="H295" s="1"/>
  <c r="I296"/>
  <c r="I295" s="1"/>
  <c r="G296"/>
  <c r="G295" s="1"/>
  <c r="G643" l="1"/>
  <c r="G243" i="2" l="1"/>
  <c r="H243"/>
  <c r="F243"/>
  <c r="G242"/>
  <c r="H242"/>
  <c r="F242"/>
  <c r="C242"/>
  <c r="B242"/>
  <c r="H216" i="1"/>
  <c r="I216"/>
  <c r="I215" s="1"/>
  <c r="I214" s="1"/>
  <c r="I213" s="1"/>
  <c r="I212" s="1"/>
  <c r="G216"/>
  <c r="H218"/>
  <c r="I218"/>
  <c r="G218"/>
  <c r="G46" i="2"/>
  <c r="H46"/>
  <c r="F46"/>
  <c r="C46"/>
  <c r="B46"/>
  <c r="H648" i="1"/>
  <c r="H647" s="1"/>
  <c r="I648"/>
  <c r="I647" s="1"/>
  <c r="G648"/>
  <c r="G647" s="1"/>
  <c r="G215" l="1"/>
  <c r="G214" s="1"/>
  <c r="G213" s="1"/>
  <c r="G212" s="1"/>
  <c r="H215"/>
  <c r="H214" s="1"/>
  <c r="H213" s="1"/>
  <c r="H212" s="1"/>
  <c r="G554"/>
  <c r="G82" i="2"/>
  <c r="H82"/>
  <c r="F82"/>
  <c r="C82"/>
  <c r="B82"/>
  <c r="C58"/>
  <c r="H478" i="1"/>
  <c r="H477" s="1"/>
  <c r="I478"/>
  <c r="I477" s="1"/>
  <c r="G478"/>
  <c r="G477" s="1"/>
  <c r="I440" l="1"/>
  <c r="I439" s="1"/>
  <c r="H58" i="2"/>
  <c r="G58"/>
  <c r="F58"/>
  <c r="G440" i="1" l="1"/>
  <c r="G439" s="1"/>
  <c r="H440"/>
  <c r="H439" s="1"/>
  <c r="I494" l="1"/>
  <c r="H494"/>
  <c r="G494"/>
  <c r="G45" i="2"/>
  <c r="H45"/>
  <c r="F45"/>
  <c r="C45"/>
  <c r="H642" i="1"/>
  <c r="H641" s="1"/>
  <c r="I642"/>
  <c r="I641" s="1"/>
  <c r="G642"/>
  <c r="G641" s="1"/>
  <c r="I646"/>
  <c r="H646"/>
  <c r="G646"/>
  <c r="H633"/>
  <c r="I605"/>
  <c r="H605"/>
  <c r="G605"/>
  <c r="G708"/>
  <c r="G225" i="2"/>
  <c r="H225"/>
  <c r="F225"/>
  <c r="C225"/>
  <c r="I697" i="1"/>
  <c r="I696" s="1"/>
  <c r="H697"/>
  <c r="H696" s="1"/>
  <c r="G697"/>
  <c r="G696" s="1"/>
  <c r="I401"/>
  <c r="H401"/>
  <c r="G427"/>
  <c r="G206" i="2"/>
  <c r="H206"/>
  <c r="F206"/>
  <c r="G205"/>
  <c r="H205"/>
  <c r="F205"/>
  <c r="G204"/>
  <c r="H204"/>
  <c r="F204"/>
  <c r="C204"/>
  <c r="G188"/>
  <c r="H188"/>
  <c r="F189"/>
  <c r="F188" s="1"/>
  <c r="C189"/>
  <c r="G174"/>
  <c r="H174"/>
  <c r="F174"/>
  <c r="G176"/>
  <c r="H176"/>
  <c r="F176"/>
  <c r="H143"/>
  <c r="G144"/>
  <c r="G143" s="1"/>
  <c r="F144"/>
  <c r="F143" s="1"/>
  <c r="C144"/>
  <c r="H259" i="1"/>
  <c r="H258" s="1"/>
  <c r="H257" s="1"/>
  <c r="H256" s="1"/>
  <c r="I259"/>
  <c r="I258" s="1"/>
  <c r="I257" s="1"/>
  <c r="I256" s="1"/>
  <c r="G259"/>
  <c r="G258" s="1"/>
  <c r="G256" s="1"/>
  <c r="I252"/>
  <c r="H252"/>
  <c r="G252"/>
  <c r="F203" i="2" l="1"/>
  <c r="F202" s="1"/>
  <c r="G203"/>
  <c r="G202" s="1"/>
  <c r="H203"/>
  <c r="H202" s="1"/>
  <c r="H239" i="1"/>
  <c r="H237" s="1"/>
  <c r="I239"/>
  <c r="I237" s="1"/>
  <c r="G239"/>
  <c r="G237" s="1"/>
  <c r="H234"/>
  <c r="I234"/>
  <c r="G234"/>
  <c r="H161"/>
  <c r="I161"/>
  <c r="H70"/>
  <c r="H69" s="1"/>
  <c r="H68" s="1"/>
  <c r="H67" s="1"/>
  <c r="H66" s="1"/>
  <c r="I70"/>
  <c r="I69" s="1"/>
  <c r="I68" s="1"/>
  <c r="I67" s="1"/>
  <c r="I66" s="1"/>
  <c r="G70"/>
  <c r="G69" s="1"/>
  <c r="G68" s="1"/>
  <c r="G67" s="1"/>
  <c r="G66" s="1"/>
  <c r="C169" i="2"/>
  <c r="G129"/>
  <c r="H129"/>
  <c r="F129"/>
  <c r="G91" l="1"/>
  <c r="H91"/>
  <c r="F91"/>
  <c r="E91"/>
  <c r="D91"/>
  <c r="C91"/>
  <c r="B91"/>
  <c r="G68"/>
  <c r="H68"/>
  <c r="F68"/>
  <c r="E68"/>
  <c r="D68"/>
  <c r="C68"/>
  <c r="B68"/>
  <c r="G67"/>
  <c r="H67"/>
  <c r="F67"/>
  <c r="E67"/>
  <c r="D67"/>
  <c r="C67"/>
  <c r="B67"/>
  <c r="G57"/>
  <c r="H57"/>
  <c r="F57"/>
  <c r="E57"/>
  <c r="D57"/>
  <c r="C57"/>
  <c r="B57"/>
  <c r="H487" i="1" l="1"/>
  <c r="H486" s="1"/>
  <c r="I487"/>
  <c r="I486" s="1"/>
  <c r="G487"/>
  <c r="G486" s="1"/>
  <c r="H490"/>
  <c r="H489" s="1"/>
  <c r="I490"/>
  <c r="I489" s="1"/>
  <c r="G490"/>
  <c r="G489" s="1"/>
  <c r="H542"/>
  <c r="H541" s="1"/>
  <c r="I542"/>
  <c r="I541" s="1"/>
  <c r="G542"/>
  <c r="G541" s="1"/>
  <c r="H443"/>
  <c r="H442" s="1"/>
  <c r="I443"/>
  <c r="I442" s="1"/>
  <c r="G443"/>
  <c r="G442" s="1"/>
  <c r="H293" l="1"/>
  <c r="H292" s="1"/>
  <c r="H291" s="1"/>
  <c r="E42" i="3" s="1"/>
  <c r="I293" i="1"/>
  <c r="I292" s="1"/>
  <c r="I291" s="1"/>
  <c r="F42" i="3" s="1"/>
  <c r="G293" i="1"/>
  <c r="G292" s="1"/>
  <c r="G291" l="1"/>
  <c r="D42" i="3" s="1"/>
  <c r="C70" i="2"/>
  <c r="F137" i="1" l="1"/>
  <c r="H70" i="2" l="1"/>
  <c r="G70"/>
  <c r="F70"/>
  <c r="G198"/>
  <c r="H198"/>
  <c r="F198"/>
  <c r="G197"/>
  <c r="H197"/>
  <c r="F197"/>
  <c r="G166"/>
  <c r="H166"/>
  <c r="F166"/>
  <c r="D166"/>
  <c r="C166"/>
  <c r="B166"/>
  <c r="H358" i="1" l="1"/>
  <c r="I358"/>
  <c r="G358"/>
  <c r="H360"/>
  <c r="I360"/>
  <c r="G360"/>
  <c r="H254"/>
  <c r="H253" s="1"/>
  <c r="I254"/>
  <c r="I253" s="1"/>
  <c r="G254"/>
  <c r="G253" s="1"/>
  <c r="H357" l="1"/>
  <c r="H356" s="1"/>
  <c r="H355" s="1"/>
  <c r="I357"/>
  <c r="I356" s="1"/>
  <c r="I355" s="1"/>
  <c r="G357"/>
  <c r="G356" s="1"/>
  <c r="G355" s="1"/>
  <c r="H499"/>
  <c r="H498" s="1"/>
  <c r="I499"/>
  <c r="I498" s="1"/>
  <c r="G499"/>
  <c r="G498" s="1"/>
  <c r="I175" l="1"/>
  <c r="I174" s="1"/>
  <c r="H228" i="2"/>
  <c r="H229"/>
  <c r="H230"/>
  <c r="H231"/>
  <c r="H232"/>
  <c r="H233"/>
  <c r="H234"/>
  <c r="H235"/>
  <c r="H236"/>
  <c r="H237"/>
  <c r="H238"/>
  <c r="H239"/>
  <c r="H241"/>
  <c r="H244"/>
  <c r="H245"/>
  <c r="H246"/>
  <c r="H247"/>
  <c r="H248"/>
  <c r="H249"/>
  <c r="H227" l="1"/>
  <c r="H226" s="1"/>
  <c r="G61" l="1"/>
  <c r="H61"/>
  <c r="F61"/>
  <c r="C61"/>
  <c r="H472" i="1"/>
  <c r="H471" s="1"/>
  <c r="I472"/>
  <c r="I471" s="1"/>
  <c r="G472"/>
  <c r="G471" s="1"/>
  <c r="G36" i="2"/>
  <c r="H36"/>
  <c r="F36"/>
  <c r="C36"/>
  <c r="G193"/>
  <c r="H193"/>
  <c r="F193"/>
  <c r="H595" i="1"/>
  <c r="H594" s="1"/>
  <c r="I595"/>
  <c r="I594" s="1"/>
  <c r="G595"/>
  <c r="G594" s="1"/>
  <c r="H271"/>
  <c r="I271"/>
  <c r="G271"/>
  <c r="C42" i="2"/>
  <c r="H639" i="1"/>
  <c r="H638" s="1"/>
  <c r="G42" i="2" s="1"/>
  <c r="I639" i="1"/>
  <c r="I638" s="1"/>
  <c r="H42" i="2" s="1"/>
  <c r="G639" i="1"/>
  <c r="G638" s="1"/>
  <c r="F42" i="2" s="1"/>
  <c r="G48" l="1"/>
  <c r="G47" s="1"/>
  <c r="H48"/>
  <c r="H47" s="1"/>
  <c r="F48"/>
  <c r="F47" s="1"/>
  <c r="C48"/>
  <c r="H668" i="1"/>
  <c r="H667" s="1"/>
  <c r="H666" s="1"/>
  <c r="I668"/>
  <c r="I667" s="1"/>
  <c r="I666" s="1"/>
  <c r="G668"/>
  <c r="G667" s="1"/>
  <c r="G666" s="1"/>
  <c r="G182" i="2" l="1"/>
  <c r="H182"/>
  <c r="F182"/>
  <c r="C182"/>
  <c r="C180" l="1"/>
  <c r="C69"/>
  <c r="G514" i="1" l="1"/>
  <c r="G513" s="1"/>
  <c r="F69" i="2" s="1"/>
  <c r="H514" i="1"/>
  <c r="H513" s="1"/>
  <c r="G69" i="2" s="1"/>
  <c r="I514" i="1"/>
  <c r="I513" s="1"/>
  <c r="H69" i="2" s="1"/>
  <c r="G407" i="1" l="1"/>
  <c r="H407"/>
  <c r="I407"/>
  <c r="H409"/>
  <c r="I409"/>
  <c r="I406" l="1"/>
  <c r="H406"/>
  <c r="H269" i="2"/>
  <c r="F20" i="3"/>
  <c r="F22"/>
  <c r="F65"/>
  <c r="G247" i="2"/>
  <c r="F247"/>
  <c r="G246"/>
  <c r="F246"/>
  <c r="C246"/>
  <c r="H343" i="1"/>
  <c r="I343"/>
  <c r="G343"/>
  <c r="H341"/>
  <c r="I341"/>
  <c r="G341"/>
  <c r="G340" l="1"/>
  <c r="I340"/>
  <c r="H340"/>
  <c r="G529" l="1"/>
  <c r="G528" s="1"/>
  <c r="H529"/>
  <c r="H528" s="1"/>
  <c r="I529"/>
  <c r="I528" s="1"/>
  <c r="G532"/>
  <c r="H532"/>
  <c r="I532"/>
  <c r="H536"/>
  <c r="I536"/>
  <c r="H531" l="1"/>
  <c r="H527" s="1"/>
  <c r="I531"/>
  <c r="I527" s="1"/>
  <c r="I555"/>
  <c r="I553"/>
  <c r="I551"/>
  <c r="I469"/>
  <c r="I468" s="1"/>
  <c r="I550" l="1"/>
  <c r="I549" s="1"/>
  <c r="I636"/>
  <c r="I635" s="1"/>
  <c r="I449"/>
  <c r="I448" s="1"/>
  <c r="I446"/>
  <c r="I445" s="1"/>
  <c r="I437"/>
  <c r="I436" s="1"/>
  <c r="I353"/>
  <c r="I351"/>
  <c r="I348"/>
  <c r="I347" s="1"/>
  <c r="I336"/>
  <c r="I338"/>
  <c r="I330"/>
  <c r="I329" s="1"/>
  <c r="I328" s="1"/>
  <c r="I327" s="1"/>
  <c r="I326" s="1"/>
  <c r="I324"/>
  <c r="I323" s="1"/>
  <c r="I322" s="1"/>
  <c r="I321" s="1"/>
  <c r="I320" s="1"/>
  <c r="I318"/>
  <c r="I311"/>
  <c r="I309"/>
  <c r="I289"/>
  <c r="I287"/>
  <c r="I280"/>
  <c r="I279" s="1"/>
  <c r="I277"/>
  <c r="I276" s="1"/>
  <c r="I269"/>
  <c r="I251"/>
  <c r="I250" s="1"/>
  <c r="I245"/>
  <c r="I244" s="1"/>
  <c r="I236"/>
  <c r="I232"/>
  <c r="I231" s="1"/>
  <c r="I226"/>
  <c r="I224"/>
  <c r="I209"/>
  <c r="I208" s="1"/>
  <c r="I206"/>
  <c r="I205" s="1"/>
  <c r="I203"/>
  <c r="I202" s="1"/>
  <c r="I196"/>
  <c r="I195" s="1"/>
  <c r="I194" s="1"/>
  <c r="I187"/>
  <c r="I189"/>
  <c r="I178"/>
  <c r="I177" s="1"/>
  <c r="I183"/>
  <c r="I182" s="1"/>
  <c r="I181" s="1"/>
  <c r="I172"/>
  <c r="I171" s="1"/>
  <c r="I169"/>
  <c r="I168" s="1"/>
  <c r="I166"/>
  <c r="I164"/>
  <c r="I159"/>
  <c r="I153"/>
  <c r="I152" s="1"/>
  <c r="I147"/>
  <c r="I146" s="1"/>
  <c r="I141"/>
  <c r="I140" s="1"/>
  <c r="I138"/>
  <c r="I136"/>
  <c r="I134"/>
  <c r="I243" l="1"/>
  <c r="I242"/>
  <c r="I230"/>
  <c r="I229" s="1"/>
  <c r="I249"/>
  <c r="I248" s="1"/>
  <c r="I247" s="1"/>
  <c r="I548"/>
  <c r="I547" s="1"/>
  <c r="I268"/>
  <c r="I267" s="1"/>
  <c r="I266" s="1"/>
  <c r="I265" s="1"/>
  <c r="F36" i="3" s="1"/>
  <c r="I317" i="1"/>
  <c r="I316" s="1"/>
  <c r="I315" s="1"/>
  <c r="I314" s="1"/>
  <c r="F53" i="3"/>
  <c r="I186" i="1"/>
  <c r="I185" s="1"/>
  <c r="I180" s="1"/>
  <c r="I335"/>
  <c r="I350"/>
  <c r="I346" s="1"/>
  <c r="I345" s="1"/>
  <c r="I308"/>
  <c r="I307" s="1"/>
  <c r="I306" s="1"/>
  <c r="I305" s="1"/>
  <c r="I304" s="1"/>
  <c r="I286"/>
  <c r="I285" s="1"/>
  <c r="I284" s="1"/>
  <c r="I283" s="1"/>
  <c r="I282" s="1"/>
  <c r="I275"/>
  <c r="I274" s="1"/>
  <c r="I273" s="1"/>
  <c r="I223"/>
  <c r="I222" s="1"/>
  <c r="I221" s="1"/>
  <c r="I201"/>
  <c r="I193" s="1"/>
  <c r="I192" s="1"/>
  <c r="I191" s="1"/>
  <c r="I163"/>
  <c r="I158"/>
  <c r="I151"/>
  <c r="I150"/>
  <c r="I149" s="1"/>
  <c r="I145"/>
  <c r="I144"/>
  <c r="I143" s="1"/>
  <c r="I133"/>
  <c r="I132" s="1"/>
  <c r="I264" l="1"/>
  <c r="I241"/>
  <c r="F34" i="3"/>
  <c r="I131" i="1"/>
  <c r="I130" s="1"/>
  <c r="F19" i="3" s="1"/>
  <c r="I157" i="1"/>
  <c r="I156" s="1"/>
  <c r="I155" s="1"/>
  <c r="F48" i="3"/>
  <c r="I220" i="1"/>
  <c r="F30" i="3"/>
  <c r="I228" i="1"/>
  <c r="F31" i="3"/>
  <c r="F41"/>
  <c r="F40" s="1"/>
  <c r="F37"/>
  <c r="F35" s="1"/>
  <c r="I334" i="1"/>
  <c r="I333" s="1"/>
  <c r="I332" s="1"/>
  <c r="I211" l="1"/>
  <c r="I313"/>
  <c r="F56" i="3"/>
  <c r="I584" i="1"/>
  <c r="I582"/>
  <c r="I568"/>
  <c r="I567" s="1"/>
  <c r="I563"/>
  <c r="I565"/>
  <c r="I525"/>
  <c r="I524" s="1"/>
  <c r="I523" s="1"/>
  <c r="I522" s="1"/>
  <c r="I496"/>
  <c r="I495" s="1"/>
  <c r="I493"/>
  <c r="I492" s="1"/>
  <c r="I484"/>
  <c r="I483" s="1"/>
  <c r="I467" s="1"/>
  <c r="I466" s="1"/>
  <c r="I481"/>
  <c r="I480" s="1"/>
  <c r="I452"/>
  <c r="I451" s="1"/>
  <c r="I435" s="1"/>
  <c r="I679"/>
  <c r="I678" s="1"/>
  <c r="I677" s="1"/>
  <c r="I675"/>
  <c r="I674" s="1"/>
  <c r="I673" s="1"/>
  <c r="I664"/>
  <c r="I662"/>
  <c r="I660"/>
  <c r="I645"/>
  <c r="I644" s="1"/>
  <c r="I634" s="1"/>
  <c r="I632"/>
  <c r="I631" s="1"/>
  <c r="I629"/>
  <c r="I628" s="1"/>
  <c r="I625"/>
  <c r="I624" s="1"/>
  <c r="I622"/>
  <c r="I621" s="1"/>
  <c r="I615"/>
  <c r="I614" s="1"/>
  <c r="I613" s="1"/>
  <c r="I611"/>
  <c r="I610" s="1"/>
  <c r="I608"/>
  <c r="I607" s="1"/>
  <c r="I604"/>
  <c r="I603" s="1"/>
  <c r="I601"/>
  <c r="I600" s="1"/>
  <c r="I592"/>
  <c r="I591" s="1"/>
  <c r="I590" s="1"/>
  <c r="I627" l="1"/>
  <c r="I599"/>
  <c r="I589"/>
  <c r="I588" s="1"/>
  <c r="I521"/>
  <c r="I606"/>
  <c r="I434"/>
  <c r="I433" s="1"/>
  <c r="I562"/>
  <c r="I581"/>
  <c r="I580" s="1"/>
  <c r="I579" s="1"/>
  <c r="I578" s="1"/>
  <c r="F55" i="3" s="1"/>
  <c r="I672" i="1"/>
  <c r="I671" s="1"/>
  <c r="I659"/>
  <c r="I658" s="1"/>
  <c r="I657" s="1"/>
  <c r="I620"/>
  <c r="I561" l="1"/>
  <c r="I560" s="1"/>
  <c r="I559" s="1"/>
  <c r="I558" s="1"/>
  <c r="F46" i="3"/>
  <c r="I656" i="1"/>
  <c r="F51" i="3" s="1"/>
  <c r="I670" i="1"/>
  <c r="F58" i="3"/>
  <c r="F57" s="1"/>
  <c r="F44"/>
  <c r="I465" i="1"/>
  <c r="F45" i="3"/>
  <c r="I598" i="1"/>
  <c r="I597" s="1"/>
  <c r="I619"/>
  <c r="I618" s="1"/>
  <c r="I432" l="1"/>
  <c r="I431" s="1"/>
  <c r="F54" i="3"/>
  <c r="F52" s="1"/>
  <c r="I617" i="1"/>
  <c r="F50" i="3"/>
  <c r="F49" s="1"/>
  <c r="I587" i="1"/>
  <c r="I586" s="1"/>
  <c r="I128"/>
  <c r="I127" s="1"/>
  <c r="I126" s="1"/>
  <c r="I125" s="1"/>
  <c r="I124" s="1"/>
  <c r="I108"/>
  <c r="I107" s="1"/>
  <c r="I114"/>
  <c r="I113" s="1"/>
  <c r="I112" s="1"/>
  <c r="I111" s="1"/>
  <c r="I110" s="1"/>
  <c r="I105"/>
  <c r="I104" s="1"/>
  <c r="I98"/>
  <c r="I97" s="1"/>
  <c r="I96" s="1"/>
  <c r="I95" s="1"/>
  <c r="I94" s="1"/>
  <c r="I85"/>
  <c r="I84" s="1"/>
  <c r="I83" s="1"/>
  <c r="I82" s="1"/>
  <c r="I81" s="1"/>
  <c r="I80" s="1"/>
  <c r="I64"/>
  <c r="I63" s="1"/>
  <c r="I62" s="1"/>
  <c r="F29" i="3"/>
  <c r="I61" i="1" l="1"/>
  <c r="I60" s="1"/>
  <c r="I53" s="1"/>
  <c r="F64" i="3"/>
  <c r="I123" i="1"/>
  <c r="I122" s="1"/>
  <c r="F17" i="3"/>
  <c r="F61"/>
  <c r="F60" s="1"/>
  <c r="F47"/>
  <c r="F43" s="1"/>
  <c r="I103" i="1"/>
  <c r="I102" s="1"/>
  <c r="I101" s="1"/>
  <c r="F32" i="3" l="1"/>
  <c r="F28" s="1"/>
  <c r="I100" i="1"/>
  <c r="F63" i="3"/>
  <c r="F62" s="1"/>
  <c r="I44" i="1"/>
  <c r="I43" s="1"/>
  <c r="I37"/>
  <c r="I36" s="1"/>
  <c r="I31"/>
  <c r="I30" s="1"/>
  <c r="G27"/>
  <c r="H27"/>
  <c r="I27"/>
  <c r="I25"/>
  <c r="I23"/>
  <c r="I709"/>
  <c r="I707"/>
  <c r="I705"/>
  <c r="I712"/>
  <c r="I711" s="1"/>
  <c r="I718"/>
  <c r="I717" s="1"/>
  <c r="I715"/>
  <c r="I714" s="1"/>
  <c r="I694"/>
  <c r="I693" s="1"/>
  <c r="I691"/>
  <c r="I689"/>
  <c r="I687"/>
  <c r="I429"/>
  <c r="I428" s="1"/>
  <c r="I426"/>
  <c r="I425" s="1"/>
  <c r="I421"/>
  <c r="I419"/>
  <c r="I417"/>
  <c r="I400"/>
  <c r="I404"/>
  <c r="I402"/>
  <c r="I383"/>
  <c r="I385"/>
  <c r="I387"/>
  <c r="I390"/>
  <c r="I392"/>
  <c r="I370"/>
  <c r="I372"/>
  <c r="I368"/>
  <c r="I375"/>
  <c r="I374" s="1"/>
  <c r="H266" i="2"/>
  <c r="H267"/>
  <c r="H268"/>
  <c r="H255"/>
  <c r="H256"/>
  <c r="H257"/>
  <c r="H259"/>
  <c r="H260"/>
  <c r="H261"/>
  <c r="H263"/>
  <c r="H221"/>
  <c r="H222"/>
  <c r="H223"/>
  <c r="H224"/>
  <c r="H215"/>
  <c r="H216"/>
  <c r="H217"/>
  <c r="H218"/>
  <c r="H200"/>
  <c r="H201"/>
  <c r="H213"/>
  <c r="H214"/>
  <c r="H192"/>
  <c r="H194"/>
  <c r="H196"/>
  <c r="H195" s="1"/>
  <c r="H187"/>
  <c r="H186" s="1"/>
  <c r="H180"/>
  <c r="H179" s="1"/>
  <c r="H173"/>
  <c r="H175"/>
  <c r="H169"/>
  <c r="H170"/>
  <c r="H165"/>
  <c r="H164" s="1"/>
  <c r="H157"/>
  <c r="H160"/>
  <c r="H161"/>
  <c r="H162"/>
  <c r="H152"/>
  <c r="H153"/>
  <c r="H154"/>
  <c r="H155"/>
  <c r="H148"/>
  <c r="H149"/>
  <c r="H139"/>
  <c r="H138" s="1"/>
  <c r="H137"/>
  <c r="H136"/>
  <c r="H135"/>
  <c r="H134"/>
  <c r="H128"/>
  <c r="H125"/>
  <c r="H118"/>
  <c r="H119"/>
  <c r="H120"/>
  <c r="H121"/>
  <c r="H122"/>
  <c r="H114"/>
  <c r="H115"/>
  <c r="H116"/>
  <c r="H104"/>
  <c r="H105"/>
  <c r="H106"/>
  <c r="H108"/>
  <c r="H109"/>
  <c r="H111"/>
  <c r="H110" s="1"/>
  <c r="H94"/>
  <c r="H95"/>
  <c r="H96"/>
  <c r="H97"/>
  <c r="H98"/>
  <c r="H99"/>
  <c r="H100"/>
  <c r="H101"/>
  <c r="H85"/>
  <c r="H86"/>
  <c r="H87"/>
  <c r="H88"/>
  <c r="H89"/>
  <c r="H60"/>
  <c r="H62"/>
  <c r="H63"/>
  <c r="H64"/>
  <c r="H65"/>
  <c r="H66"/>
  <c r="H73"/>
  <c r="H74"/>
  <c r="H78"/>
  <c r="H51"/>
  <c r="H52"/>
  <c r="H53"/>
  <c r="H54"/>
  <c r="H35"/>
  <c r="H39"/>
  <c r="H40"/>
  <c r="H41"/>
  <c r="H43"/>
  <c r="H44"/>
  <c r="H32"/>
  <c r="H33"/>
  <c r="H26"/>
  <c r="H27"/>
  <c r="H28"/>
  <c r="H29"/>
  <c r="H30"/>
  <c r="H23"/>
  <c r="H24"/>
  <c r="H18"/>
  <c r="H16" s="1"/>
  <c r="H20"/>
  <c r="H19" s="1"/>
  <c r="H151" l="1"/>
  <c r="H50"/>
  <c r="H59"/>
  <c r="H84"/>
  <c r="H34"/>
  <c r="H220"/>
  <c r="H219" s="1"/>
  <c r="H172"/>
  <c r="H147"/>
  <c r="H168"/>
  <c r="H163" s="1"/>
  <c r="H93"/>
  <c r="I389" i="1"/>
  <c r="H31" i="2"/>
  <c r="H103"/>
  <c r="H25"/>
  <c r="H265"/>
  <c r="H264" s="1"/>
  <c r="H124"/>
  <c r="H117"/>
  <c r="H191"/>
  <c r="H262"/>
  <c r="H258" s="1"/>
  <c r="I382" i="1"/>
  <c r="H22" i="2"/>
  <c r="H107"/>
  <c r="H199"/>
  <c r="H159"/>
  <c r="H113"/>
  <c r="I42" i="1"/>
  <c r="I41"/>
  <c r="I40"/>
  <c r="I35"/>
  <c r="I34"/>
  <c r="I33" s="1"/>
  <c r="I22"/>
  <c r="I21" s="1"/>
  <c r="I704"/>
  <c r="I686"/>
  <c r="I424"/>
  <c r="I423" s="1"/>
  <c r="H254" i="2"/>
  <c r="I416" i="1"/>
  <c r="I415" s="1"/>
  <c r="I414" s="1"/>
  <c r="I399"/>
  <c r="I398" s="1"/>
  <c r="I367"/>
  <c r="I366" s="1"/>
  <c r="H212" i="2"/>
  <c r="H211" s="1"/>
  <c r="H133"/>
  <c r="H15"/>
  <c r="H250" l="1"/>
  <c r="I685" i="1"/>
  <c r="I684" s="1"/>
  <c r="I683" s="1"/>
  <c r="I682" s="1"/>
  <c r="I681" s="1"/>
  <c r="I381"/>
  <c r="I380" s="1"/>
  <c r="I379" s="1"/>
  <c r="I378" s="1"/>
  <c r="I377" s="1"/>
  <c r="H184" i="2"/>
  <c r="I365" i="1"/>
  <c r="I364" s="1"/>
  <c r="F27" i="3" s="1"/>
  <c r="I397" i="1"/>
  <c r="I396" s="1"/>
  <c r="I395" s="1"/>
  <c r="I394" s="1"/>
  <c r="I20"/>
  <c r="I19" s="1"/>
  <c r="H142" i="2"/>
  <c r="H150"/>
  <c r="I39" i="1"/>
  <c r="F25" i="3"/>
  <c r="F24" s="1"/>
  <c r="H49" i="2"/>
  <c r="H102"/>
  <c r="H171"/>
  <c r="H21"/>
  <c r="I413" i="1"/>
  <c r="I412" s="1"/>
  <c r="I411" s="1"/>
  <c r="H112" i="2"/>
  <c r="I703" i="1"/>
  <c r="I702" s="1"/>
  <c r="I701" s="1"/>
  <c r="H123" i="2"/>
  <c r="H270" l="1"/>
  <c r="F26" i="3"/>
  <c r="I363" i="1"/>
  <c r="I362" s="1"/>
  <c r="I18"/>
  <c r="F21" i="3"/>
  <c r="I700" i="1"/>
  <c r="I699" s="1"/>
  <c r="F18" i="3"/>
  <c r="F23"/>
  <c r="F224" i="2"/>
  <c r="G224"/>
  <c r="C224"/>
  <c r="G694" i="1"/>
  <c r="G693" s="1"/>
  <c r="H694"/>
  <c r="H693" s="1"/>
  <c r="I17" l="1"/>
  <c r="I721" s="1"/>
  <c r="F16" i="3"/>
  <c r="F66" s="1"/>
  <c r="F68" l="1"/>
  <c r="H272" i="2"/>
  <c r="F105"/>
  <c r="G105"/>
  <c r="G85" i="1"/>
  <c r="G84" s="1"/>
  <c r="G83" s="1"/>
  <c r="G82" s="1"/>
  <c r="G81" s="1"/>
  <c r="G80" s="1"/>
  <c r="H85"/>
  <c r="H84" s="1"/>
  <c r="H83" s="1"/>
  <c r="H82" s="1"/>
  <c r="H81" s="1"/>
  <c r="H80" s="1"/>
  <c r="H417" l="1"/>
  <c r="G267" i="2" l="1"/>
  <c r="F268"/>
  <c r="G268"/>
  <c r="G259"/>
  <c r="F260"/>
  <c r="G260"/>
  <c r="F261"/>
  <c r="G261"/>
  <c r="F262"/>
  <c r="F263"/>
  <c r="G263"/>
  <c r="F255"/>
  <c r="F256"/>
  <c r="F257"/>
  <c r="F244"/>
  <c r="G244"/>
  <c r="F245"/>
  <c r="G245"/>
  <c r="F248"/>
  <c r="G248"/>
  <c r="F249"/>
  <c r="G249"/>
  <c r="F228"/>
  <c r="G228"/>
  <c r="F229"/>
  <c r="G229"/>
  <c r="F230"/>
  <c r="G230"/>
  <c r="F231"/>
  <c r="G231"/>
  <c r="F232"/>
  <c r="G232"/>
  <c r="G233"/>
  <c r="F234"/>
  <c r="G234"/>
  <c r="F235"/>
  <c r="G235"/>
  <c r="F236"/>
  <c r="G236"/>
  <c r="F237"/>
  <c r="G237"/>
  <c r="F238"/>
  <c r="G238"/>
  <c r="F239"/>
  <c r="G239"/>
  <c r="F241"/>
  <c r="G241"/>
  <c r="F221"/>
  <c r="G221"/>
  <c r="F222"/>
  <c r="G222"/>
  <c r="F223"/>
  <c r="G223"/>
  <c r="F213"/>
  <c r="G213"/>
  <c r="G214"/>
  <c r="F215"/>
  <c r="G215"/>
  <c r="F216"/>
  <c r="G216"/>
  <c r="F217"/>
  <c r="G217"/>
  <c r="F218"/>
  <c r="G218"/>
  <c r="F200"/>
  <c r="G200"/>
  <c r="F201"/>
  <c r="G201"/>
  <c r="F194"/>
  <c r="G194"/>
  <c r="F196"/>
  <c r="F195" s="1"/>
  <c r="F173"/>
  <c r="G173"/>
  <c r="F175"/>
  <c r="G175"/>
  <c r="F169"/>
  <c r="G169"/>
  <c r="F170"/>
  <c r="G170"/>
  <c r="G152"/>
  <c r="F153"/>
  <c r="G153"/>
  <c r="F154"/>
  <c r="F157"/>
  <c r="G157"/>
  <c r="F148"/>
  <c r="G148"/>
  <c r="F149"/>
  <c r="G149"/>
  <c r="F136"/>
  <c r="G136"/>
  <c r="F137"/>
  <c r="G137"/>
  <c r="F134"/>
  <c r="G134"/>
  <c r="F135"/>
  <c r="G135"/>
  <c r="F128"/>
  <c r="G128"/>
  <c r="F125"/>
  <c r="G125"/>
  <c r="F118"/>
  <c r="G118"/>
  <c r="F119"/>
  <c r="G119"/>
  <c r="F120"/>
  <c r="G120"/>
  <c r="F121"/>
  <c r="G121"/>
  <c r="F122"/>
  <c r="G122"/>
  <c r="F114"/>
  <c r="G114"/>
  <c r="F115"/>
  <c r="G115"/>
  <c r="F116"/>
  <c r="G116"/>
  <c r="F111"/>
  <c r="G111"/>
  <c r="F108"/>
  <c r="G108"/>
  <c r="F104"/>
  <c r="G104"/>
  <c r="G106"/>
  <c r="F94"/>
  <c r="G94"/>
  <c r="F95"/>
  <c r="G95"/>
  <c r="F96"/>
  <c r="G96"/>
  <c r="F97"/>
  <c r="G97"/>
  <c r="F98"/>
  <c r="G98"/>
  <c r="F99"/>
  <c r="G99"/>
  <c r="F100"/>
  <c r="G100"/>
  <c r="F101"/>
  <c r="G101"/>
  <c r="G85"/>
  <c r="F86"/>
  <c r="F87"/>
  <c r="G87"/>
  <c r="F88"/>
  <c r="G88"/>
  <c r="F89"/>
  <c r="G73"/>
  <c r="F74"/>
  <c r="G74"/>
  <c r="F65"/>
  <c r="G65"/>
  <c r="G66"/>
  <c r="G60"/>
  <c r="G62"/>
  <c r="F63"/>
  <c r="G63"/>
  <c r="G64"/>
  <c r="F54"/>
  <c r="G54"/>
  <c r="F51"/>
  <c r="G51"/>
  <c r="F53"/>
  <c r="G53"/>
  <c r="G35"/>
  <c r="F39"/>
  <c r="G39"/>
  <c r="F40"/>
  <c r="G40"/>
  <c r="F41"/>
  <c r="G41"/>
  <c r="F43"/>
  <c r="G43"/>
  <c r="F44"/>
  <c r="G44"/>
  <c r="G32"/>
  <c r="G33"/>
  <c r="F26"/>
  <c r="G26"/>
  <c r="F27"/>
  <c r="G27"/>
  <c r="F28"/>
  <c r="G28"/>
  <c r="F29"/>
  <c r="G29"/>
  <c r="F30"/>
  <c r="G30"/>
  <c r="G34" l="1"/>
  <c r="G227"/>
  <c r="G226" s="1"/>
  <c r="F220"/>
  <c r="G220"/>
  <c r="G219" s="1"/>
  <c r="F172"/>
  <c r="G172"/>
  <c r="F147"/>
  <c r="G147"/>
  <c r="F168"/>
  <c r="G168"/>
  <c r="F93"/>
  <c r="G93"/>
  <c r="G103"/>
  <c r="G31"/>
  <c r="G25"/>
  <c r="F25"/>
  <c r="F124"/>
  <c r="G124"/>
  <c r="F117"/>
  <c r="G117"/>
  <c r="G133"/>
  <c r="G113"/>
  <c r="F113"/>
  <c r="F133"/>
  <c r="F23"/>
  <c r="G23"/>
  <c r="F24"/>
  <c r="G24"/>
  <c r="F20"/>
  <c r="G20"/>
  <c r="F18"/>
  <c r="F16" s="1"/>
  <c r="G18"/>
  <c r="G16" s="1"/>
  <c r="F165"/>
  <c r="F164" s="1"/>
  <c r="G165"/>
  <c r="G164" s="1"/>
  <c r="F139"/>
  <c r="G139"/>
  <c r="F110"/>
  <c r="G110"/>
  <c r="F163" l="1"/>
  <c r="G163"/>
  <c r="G22"/>
  <c r="F112"/>
  <c r="F22"/>
  <c r="G112"/>
  <c r="F219"/>
  <c r="F19"/>
  <c r="G19"/>
  <c r="G192"/>
  <c r="G191" s="1"/>
  <c r="G212"/>
  <c r="G211" s="1"/>
  <c r="G705" i="1"/>
  <c r="H705"/>
  <c r="H707"/>
  <c r="G709"/>
  <c r="H709"/>
  <c r="G712"/>
  <c r="G711" s="1"/>
  <c r="H712"/>
  <c r="H711" s="1"/>
  <c r="G715"/>
  <c r="G714" s="1"/>
  <c r="H715"/>
  <c r="H714" s="1"/>
  <c r="G718"/>
  <c r="G717" s="1"/>
  <c r="H718"/>
  <c r="H717" s="1"/>
  <c r="G269" i="2"/>
  <c r="H691" i="1"/>
  <c r="H689"/>
  <c r="H687"/>
  <c r="H645"/>
  <c r="H644" s="1"/>
  <c r="H664"/>
  <c r="H662"/>
  <c r="H660"/>
  <c r="G555"/>
  <c r="H555"/>
  <c r="G553"/>
  <c r="H553"/>
  <c r="G551"/>
  <c r="H551"/>
  <c r="H584"/>
  <c r="H565"/>
  <c r="H563"/>
  <c r="H562" s="1"/>
  <c r="H481"/>
  <c r="H480" s="1"/>
  <c r="H400"/>
  <c r="G404"/>
  <c r="H404"/>
  <c r="G383"/>
  <c r="H383"/>
  <c r="G385"/>
  <c r="H385"/>
  <c r="G387"/>
  <c r="H387"/>
  <c r="G390"/>
  <c r="H390"/>
  <c r="G392"/>
  <c r="H392"/>
  <c r="H368"/>
  <c r="F152" i="2"/>
  <c r="G370" i="1"/>
  <c r="H370"/>
  <c r="G372"/>
  <c r="G311"/>
  <c r="H311"/>
  <c r="G309"/>
  <c r="H309"/>
  <c r="G287"/>
  <c r="H287"/>
  <c r="H245"/>
  <c r="H244" s="1"/>
  <c r="G236"/>
  <c r="H236"/>
  <c r="G232"/>
  <c r="G231" s="1"/>
  <c r="H232"/>
  <c r="H231" s="1"/>
  <c r="G226"/>
  <c r="H226"/>
  <c r="G224"/>
  <c r="H224"/>
  <c r="G209"/>
  <c r="G208" s="1"/>
  <c r="F162" i="2" s="1"/>
  <c r="H209" i="1"/>
  <c r="H208" s="1"/>
  <c r="G162" i="2" s="1"/>
  <c r="G206" i="1"/>
  <c r="G205" s="1"/>
  <c r="F161" i="2" s="1"/>
  <c r="H206" i="1"/>
  <c r="H205" s="1"/>
  <c r="G161" i="2" s="1"/>
  <c r="G203" i="1"/>
  <c r="G202" s="1"/>
  <c r="H203"/>
  <c r="H202" s="1"/>
  <c r="G160" i="2" s="1"/>
  <c r="G196" i="1"/>
  <c r="G195" s="1"/>
  <c r="G194" s="1"/>
  <c r="H196"/>
  <c r="H195" s="1"/>
  <c r="H194" s="1"/>
  <c r="G189"/>
  <c r="H189"/>
  <c r="G187"/>
  <c r="H187"/>
  <c r="G183"/>
  <c r="G182" s="1"/>
  <c r="G181" s="1"/>
  <c r="H183"/>
  <c r="H182" s="1"/>
  <c r="H181" s="1"/>
  <c r="G178"/>
  <c r="G177" s="1"/>
  <c r="H178"/>
  <c r="H177" s="1"/>
  <c r="G175"/>
  <c r="G174" s="1"/>
  <c r="H175"/>
  <c r="H174" s="1"/>
  <c r="G172"/>
  <c r="G171" s="1"/>
  <c r="H172"/>
  <c r="H171" s="1"/>
  <c r="G169"/>
  <c r="G168" s="1"/>
  <c r="H169"/>
  <c r="H168" s="1"/>
  <c r="G166"/>
  <c r="H166"/>
  <c r="G164"/>
  <c r="H164"/>
  <c r="G161"/>
  <c r="G159"/>
  <c r="H159"/>
  <c r="G153"/>
  <c r="G152" s="1"/>
  <c r="G151" s="1"/>
  <c r="H153"/>
  <c r="H152" s="1"/>
  <c r="H147"/>
  <c r="H146" s="1"/>
  <c r="G141"/>
  <c r="G140" s="1"/>
  <c r="H141"/>
  <c r="H140" s="1"/>
  <c r="G138"/>
  <c r="H138"/>
  <c r="G136"/>
  <c r="H136"/>
  <c r="G134"/>
  <c r="H134"/>
  <c r="G128"/>
  <c r="G127" s="1"/>
  <c r="G126" s="1"/>
  <c r="G125" s="1"/>
  <c r="G124" s="1"/>
  <c r="D17" i="3" s="1"/>
  <c r="H128" i="1"/>
  <c r="H127" s="1"/>
  <c r="H126" s="1"/>
  <c r="H125" s="1"/>
  <c r="H124" s="1"/>
  <c r="E17" i="3" s="1"/>
  <c r="G353" i="1"/>
  <c r="H353"/>
  <c r="G351"/>
  <c r="H351"/>
  <c r="G348"/>
  <c r="G347" s="1"/>
  <c r="H348"/>
  <c r="H347" s="1"/>
  <c r="G338"/>
  <c r="H338"/>
  <c r="G336"/>
  <c r="H336"/>
  <c r="G330"/>
  <c r="G329" s="1"/>
  <c r="G328" s="1"/>
  <c r="G327" s="1"/>
  <c r="G326" s="1"/>
  <c r="G318"/>
  <c r="G317" s="1"/>
  <c r="G316" s="1"/>
  <c r="G315" s="1"/>
  <c r="G314" s="1"/>
  <c r="G280"/>
  <c r="G279" s="1"/>
  <c r="H280"/>
  <c r="H279" s="1"/>
  <c r="G277"/>
  <c r="G276" s="1"/>
  <c r="H277"/>
  <c r="H276" s="1"/>
  <c r="G269"/>
  <c r="H269"/>
  <c r="G251"/>
  <c r="G250" s="1"/>
  <c r="H251"/>
  <c r="H250" s="1"/>
  <c r="H243" l="1"/>
  <c r="H242"/>
  <c r="H241" s="1"/>
  <c r="H230"/>
  <c r="H229" s="1"/>
  <c r="H228" s="1"/>
  <c r="G230"/>
  <c r="G229" s="1"/>
  <c r="G228" s="1"/>
  <c r="G249"/>
  <c r="G248" s="1"/>
  <c r="G247" s="1"/>
  <c r="H249"/>
  <c r="H248" s="1"/>
  <c r="H247" s="1"/>
  <c r="G268"/>
  <c r="G267" s="1"/>
  <c r="G266" s="1"/>
  <c r="G265" s="1"/>
  <c r="D36" i="3" s="1"/>
  <c r="H268" i="1"/>
  <c r="H267" s="1"/>
  <c r="H266" s="1"/>
  <c r="H265" s="1"/>
  <c r="E36" i="3" s="1"/>
  <c r="G308" i="1"/>
  <c r="G307" s="1"/>
  <c r="G306" s="1"/>
  <c r="G305" s="1"/>
  <c r="G304" s="1"/>
  <c r="H704"/>
  <c r="H703" s="1"/>
  <c r="H702" s="1"/>
  <c r="H701" s="1"/>
  <c r="H686"/>
  <c r="H133"/>
  <c r="H132" s="1"/>
  <c r="G350"/>
  <c r="G346" s="1"/>
  <c r="G345" s="1"/>
  <c r="H308"/>
  <c r="H307" s="1"/>
  <c r="H306" s="1"/>
  <c r="H305" s="1"/>
  <c r="H304" s="1"/>
  <c r="H550"/>
  <c r="H549" s="1"/>
  <c r="G133"/>
  <c r="G132" s="1"/>
  <c r="G389"/>
  <c r="G550"/>
  <c r="G549" s="1"/>
  <c r="G15" i="2"/>
  <c r="G159"/>
  <c r="F155"/>
  <c r="F151" s="1"/>
  <c r="H389" i="1"/>
  <c r="E65" i="3"/>
  <c r="H289" i="1"/>
  <c r="H286" s="1"/>
  <c r="H285" s="1"/>
  <c r="H284" s="1"/>
  <c r="H283" s="1"/>
  <c r="H282" s="1"/>
  <c r="G368"/>
  <c r="G367" s="1"/>
  <c r="H350"/>
  <c r="H346" s="1"/>
  <c r="H345" s="1"/>
  <c r="G201"/>
  <c r="F160" i="2"/>
  <c r="F159" s="1"/>
  <c r="H324" i="1"/>
  <c r="H323" s="1"/>
  <c r="H322" s="1"/>
  <c r="H321" s="1"/>
  <c r="H320" s="1"/>
  <c r="G187" i="2"/>
  <c r="G186" s="1"/>
  <c r="H382" i="1"/>
  <c r="H330"/>
  <c r="H329" s="1"/>
  <c r="H328" s="1"/>
  <c r="H327" s="1"/>
  <c r="H326" s="1"/>
  <c r="G196" i="2"/>
  <c r="G195" s="1"/>
  <c r="G155"/>
  <c r="G382" i="1"/>
  <c r="F15" i="2"/>
  <c r="H201" i="1"/>
  <c r="G335"/>
  <c r="H659"/>
  <c r="H658" s="1"/>
  <c r="H657" s="1"/>
  <c r="H223"/>
  <c r="H222" s="1"/>
  <c r="H221" s="1"/>
  <c r="H220" s="1"/>
  <c r="G223"/>
  <c r="G222" s="1"/>
  <c r="G221" s="1"/>
  <c r="G220" s="1"/>
  <c r="H186"/>
  <c r="H185" s="1"/>
  <c r="H180" s="1"/>
  <c r="G186"/>
  <c r="G185" s="1"/>
  <c r="G180" s="1"/>
  <c r="H163"/>
  <c r="G163"/>
  <c r="H158"/>
  <c r="G158"/>
  <c r="H151"/>
  <c r="H150"/>
  <c r="H149" s="1"/>
  <c r="G150"/>
  <c r="G149" s="1"/>
  <c r="H145"/>
  <c r="H144"/>
  <c r="H143" s="1"/>
  <c r="H335"/>
  <c r="G275"/>
  <c r="G274" s="1"/>
  <c r="G273" s="1"/>
  <c r="D37" i="3" s="1"/>
  <c r="H275" i="1"/>
  <c r="H274" s="1"/>
  <c r="H273" s="1"/>
  <c r="F142" i="2"/>
  <c r="H211" i="1" l="1"/>
  <c r="H685"/>
  <c r="H684" s="1"/>
  <c r="H683" s="1"/>
  <c r="H682" s="1"/>
  <c r="H681" s="1"/>
  <c r="G264"/>
  <c r="H264"/>
  <c r="G381"/>
  <c r="H381"/>
  <c r="G131"/>
  <c r="G130" s="1"/>
  <c r="D19" i="3" s="1"/>
  <c r="H131" i="1"/>
  <c r="H130" s="1"/>
  <c r="E19" i="3" s="1"/>
  <c r="H548" i="1"/>
  <c r="H547" s="1"/>
  <c r="G548"/>
  <c r="G547" s="1"/>
  <c r="H656"/>
  <c r="E51" i="3" s="1"/>
  <c r="H157" i="1"/>
  <c r="H156" s="1"/>
  <c r="H155" s="1"/>
  <c r="G157"/>
  <c r="G156" s="1"/>
  <c r="G155" s="1"/>
  <c r="H334"/>
  <c r="H333" s="1"/>
  <c r="G334"/>
  <c r="G333" s="1"/>
  <c r="F150" i="2"/>
  <c r="H193" i="1"/>
  <c r="H192" s="1"/>
  <c r="H191" s="1"/>
  <c r="G193"/>
  <c r="G192" s="1"/>
  <c r="G191" s="1"/>
  <c r="H700"/>
  <c r="H699" s="1"/>
  <c r="E18" i="3"/>
  <c r="G89" i="2"/>
  <c r="G536" i="1"/>
  <c r="G86" i="2"/>
  <c r="G84" s="1"/>
  <c r="H332" i="1" l="1"/>
  <c r="E56" i="3" s="1"/>
  <c r="G332" i="1"/>
  <c r="D56" i="3" s="1"/>
  <c r="H123" i="1"/>
  <c r="G531"/>
  <c r="G527" s="1"/>
  <c r="G611" l="1"/>
  <c r="G610" s="1"/>
  <c r="F109" i="2" s="1"/>
  <c r="F107" s="1"/>
  <c r="F73"/>
  <c r="F64"/>
  <c r="F62"/>
  <c r="F60"/>
  <c r="G289" i="1" l="1"/>
  <c r="G286" s="1"/>
  <c r="G285" s="1"/>
  <c r="G284" s="1"/>
  <c r="G324"/>
  <c r="G323" s="1"/>
  <c r="G322" s="1"/>
  <c r="G321" s="1"/>
  <c r="G320" s="1"/>
  <c r="G313" s="1"/>
  <c r="F187" i="2"/>
  <c r="F186" s="1"/>
  <c r="F233"/>
  <c r="F227" s="1"/>
  <c r="F267"/>
  <c r="G266"/>
  <c r="G265" s="1"/>
  <c r="F266"/>
  <c r="F269"/>
  <c r="F85"/>
  <c r="F84" s="1"/>
  <c r="H592" i="1"/>
  <c r="H591" s="1"/>
  <c r="H590" s="1"/>
  <c r="F35" i="2"/>
  <c r="F34" s="1"/>
  <c r="F32"/>
  <c r="F33"/>
  <c r="G402" i="1"/>
  <c r="H402"/>
  <c r="F214" i="2"/>
  <c r="C249"/>
  <c r="C194"/>
  <c r="G180"/>
  <c r="G179" s="1"/>
  <c r="F180"/>
  <c r="F179" s="1"/>
  <c r="F259"/>
  <c r="F258" s="1"/>
  <c r="C78"/>
  <c r="G568" i="1"/>
  <c r="G567" s="1"/>
  <c r="F78" i="2" s="1"/>
  <c r="H568" i="1"/>
  <c r="C268" i="2"/>
  <c r="G98" i="1"/>
  <c r="G97" s="1"/>
  <c r="G96" s="1"/>
  <c r="G95" s="1"/>
  <c r="G94" s="1"/>
  <c r="D61" i="3" s="1"/>
  <c r="D60" s="1"/>
  <c r="H98" i="1"/>
  <c r="H97" s="1"/>
  <c r="H96" s="1"/>
  <c r="H95" s="1"/>
  <c r="H94" s="1"/>
  <c r="E61" i="3" s="1"/>
  <c r="E60" s="1"/>
  <c r="C136" i="2"/>
  <c r="C135"/>
  <c r="C134"/>
  <c r="H318" i="1"/>
  <c r="H317" s="1"/>
  <c r="H316" s="1"/>
  <c r="H315" s="1"/>
  <c r="H314" s="1"/>
  <c r="H313" s="1"/>
  <c r="H122" s="1"/>
  <c r="F192" i="2"/>
  <c r="F191" s="1"/>
  <c r="C192"/>
  <c r="C248"/>
  <c r="C244"/>
  <c r="C165"/>
  <c r="C232"/>
  <c r="C122"/>
  <c r="G31" i="1"/>
  <c r="G30" s="1"/>
  <c r="H31"/>
  <c r="H30" s="1"/>
  <c r="C64" i="2"/>
  <c r="G493" i="1"/>
  <c r="G492" s="1"/>
  <c r="H493"/>
  <c r="H492" s="1"/>
  <c r="F66" i="2"/>
  <c r="C44"/>
  <c r="G645" i="1"/>
  <c r="G644" s="1"/>
  <c r="C217" i="2"/>
  <c r="C216"/>
  <c r="C262"/>
  <c r="G262"/>
  <c r="G258" s="1"/>
  <c r="G409" i="1"/>
  <c r="G406" s="1"/>
  <c r="G691"/>
  <c r="G679"/>
  <c r="G678" s="1"/>
  <c r="G677" s="1"/>
  <c r="H679"/>
  <c r="H678" s="1"/>
  <c r="H677" s="1"/>
  <c r="G615"/>
  <c r="G614" s="1"/>
  <c r="G613" s="1"/>
  <c r="H615"/>
  <c r="H614" s="1"/>
  <c r="H613" s="1"/>
  <c r="H611" s="1"/>
  <c r="G608"/>
  <c r="G607" s="1"/>
  <c r="G606" s="1"/>
  <c r="H608"/>
  <c r="H607" s="1"/>
  <c r="G563"/>
  <c r="G562" s="1"/>
  <c r="G561" s="1"/>
  <c r="C175" i="2"/>
  <c r="F138"/>
  <c r="G138"/>
  <c r="G636" i="1"/>
  <c r="G635" s="1"/>
  <c r="H636"/>
  <c r="H635" s="1"/>
  <c r="H634" s="1"/>
  <c r="G375"/>
  <c r="G374" s="1"/>
  <c r="G366" s="1"/>
  <c r="H375"/>
  <c r="H374" s="1"/>
  <c r="G64"/>
  <c r="G63" s="1"/>
  <c r="G62" s="1"/>
  <c r="C18" i="2"/>
  <c r="G675" i="1"/>
  <c r="G674" s="1"/>
  <c r="G673" s="1"/>
  <c r="H675"/>
  <c r="H674" s="1"/>
  <c r="H673" s="1"/>
  <c r="E20" i="3"/>
  <c r="C196" i="2"/>
  <c r="G421" i="1"/>
  <c r="C62" i="2"/>
  <c r="G481" i="1"/>
  <c r="G480" s="1"/>
  <c r="G446"/>
  <c r="C26" i="2"/>
  <c r="G664" i="1"/>
  <c r="G662"/>
  <c r="G437"/>
  <c r="G436" s="1"/>
  <c r="H437"/>
  <c r="H436" s="1"/>
  <c r="G419"/>
  <c r="G417"/>
  <c r="G255" i="2"/>
  <c r="C100"/>
  <c r="C98"/>
  <c r="C94"/>
  <c r="C85"/>
  <c r="C73"/>
  <c r="C65"/>
  <c r="C63"/>
  <c r="C60"/>
  <c r="C54"/>
  <c r="C53"/>
  <c r="C52"/>
  <c r="C51"/>
  <c r="G565" i="1"/>
  <c r="G584"/>
  <c r="G582"/>
  <c r="H582"/>
  <c r="H581" s="1"/>
  <c r="H580" s="1"/>
  <c r="H579" s="1"/>
  <c r="H578" s="1"/>
  <c r="E55" i="3" s="1"/>
  <c r="G496" i="1"/>
  <c r="G495" s="1"/>
  <c r="H496"/>
  <c r="H495" s="1"/>
  <c r="G484"/>
  <c r="G483" s="1"/>
  <c r="H484"/>
  <c r="H483" s="1"/>
  <c r="G469"/>
  <c r="G468" s="1"/>
  <c r="G467" s="1"/>
  <c r="H469"/>
  <c r="H468" s="1"/>
  <c r="G452"/>
  <c r="G451" s="1"/>
  <c r="H452"/>
  <c r="H451" s="1"/>
  <c r="G449"/>
  <c r="G448" s="1"/>
  <c r="H449"/>
  <c r="H448" s="1"/>
  <c r="D22" i="3"/>
  <c r="E22"/>
  <c r="C187" i="2"/>
  <c r="C200"/>
  <c r="C173"/>
  <c r="C152"/>
  <c r="C149"/>
  <c r="C148"/>
  <c r="C118"/>
  <c r="C116"/>
  <c r="C115"/>
  <c r="C114"/>
  <c r="C35"/>
  <c r="C39"/>
  <c r="C33"/>
  <c r="C32"/>
  <c r="C29"/>
  <c r="C24"/>
  <c r="C23"/>
  <c r="C22"/>
  <c r="C21"/>
  <c r="H604" i="1"/>
  <c r="H603" s="1"/>
  <c r="G689"/>
  <c r="G687"/>
  <c r="G660"/>
  <c r="H632"/>
  <c r="G629"/>
  <c r="G628" s="1"/>
  <c r="H629"/>
  <c r="H628" s="1"/>
  <c r="G601"/>
  <c r="G600" s="1"/>
  <c r="H601"/>
  <c r="H600" s="1"/>
  <c r="G625"/>
  <c r="G624" s="1"/>
  <c r="H625"/>
  <c r="H624" s="1"/>
  <c r="G622"/>
  <c r="G621" s="1"/>
  <c r="H622"/>
  <c r="H621" s="1"/>
  <c r="G592"/>
  <c r="G591" s="1"/>
  <c r="G590" s="1"/>
  <c r="D34" i="3"/>
  <c r="E34"/>
  <c r="G429" i="1"/>
  <c r="G428" s="1"/>
  <c r="G426"/>
  <c r="G425" s="1"/>
  <c r="H426"/>
  <c r="H425" s="1"/>
  <c r="G114"/>
  <c r="G113" s="1"/>
  <c r="G112" s="1"/>
  <c r="G111" s="1"/>
  <c r="G110" s="1"/>
  <c r="H114"/>
  <c r="H113" s="1"/>
  <c r="H112" s="1"/>
  <c r="H111" s="1"/>
  <c r="H110" s="1"/>
  <c r="G108"/>
  <c r="G107" s="1"/>
  <c r="H108"/>
  <c r="H107" s="1"/>
  <c r="G105"/>
  <c r="G104" s="1"/>
  <c r="H105"/>
  <c r="H104" s="1"/>
  <c r="D29" i="3"/>
  <c r="E29"/>
  <c r="H44" i="1"/>
  <c r="H43" s="1"/>
  <c r="H40" s="1"/>
  <c r="H39" s="1"/>
  <c r="G25"/>
  <c r="H25"/>
  <c r="G23"/>
  <c r="H23"/>
  <c r="G37"/>
  <c r="G36" s="1"/>
  <c r="G35" s="1"/>
  <c r="H37"/>
  <c r="H36" s="1"/>
  <c r="H34" s="1"/>
  <c r="H33" s="1"/>
  <c r="F59" i="2" l="1"/>
  <c r="H467" i="1"/>
  <c r="H466" s="1"/>
  <c r="G634"/>
  <c r="H599"/>
  <c r="H446"/>
  <c r="G283"/>
  <c r="G282" s="1"/>
  <c r="F31" i="2"/>
  <c r="F265"/>
  <c r="F264" s="1"/>
  <c r="G365" i="1"/>
  <c r="G364" s="1"/>
  <c r="D27" i="3" s="1"/>
  <c r="G61" i="1"/>
  <c r="G60" s="1"/>
  <c r="G53" s="1"/>
  <c r="E64" i="3"/>
  <c r="D64"/>
  <c r="G589" i="1"/>
  <c r="G588" s="1"/>
  <c r="H589"/>
  <c r="H588" s="1"/>
  <c r="D20" i="3"/>
  <c r="G686" i="1"/>
  <c r="G44"/>
  <c r="G43" s="1"/>
  <c r="G42" s="1"/>
  <c r="G257" i="2"/>
  <c r="H421" i="1"/>
  <c r="G256" i="2"/>
  <c r="H419" i="1"/>
  <c r="H672"/>
  <c r="H671" s="1"/>
  <c r="E58" i="3" s="1"/>
  <c r="E57" s="1"/>
  <c r="F171" i="2"/>
  <c r="G604" i="1"/>
  <c r="G603" s="1"/>
  <c r="G599" s="1"/>
  <c r="F106" i="2"/>
  <c r="F103" s="1"/>
  <c r="H372" i="1"/>
  <c r="H367" s="1"/>
  <c r="H366" s="1"/>
  <c r="G154" i="2"/>
  <c r="G151" s="1"/>
  <c r="F226"/>
  <c r="F123"/>
  <c r="G445" i="1"/>
  <c r="G435" s="1"/>
  <c r="F212" i="2"/>
  <c r="F211" s="1"/>
  <c r="G707" i="1"/>
  <c r="G245"/>
  <c r="G244" s="1"/>
  <c r="G242" s="1"/>
  <c r="G400"/>
  <c r="G399" s="1"/>
  <c r="G398" s="1"/>
  <c r="H399"/>
  <c r="H398" s="1"/>
  <c r="G147"/>
  <c r="G146" s="1"/>
  <c r="H631"/>
  <c r="H627" s="1"/>
  <c r="H620"/>
  <c r="H610"/>
  <c r="G109" i="2" s="1"/>
  <c r="G107" s="1"/>
  <c r="G102" s="1"/>
  <c r="H567" i="1"/>
  <c r="H561" s="1"/>
  <c r="H560" s="1"/>
  <c r="H559" s="1"/>
  <c r="H558" s="1"/>
  <c r="H445"/>
  <c r="H435" s="1"/>
  <c r="G659"/>
  <c r="G658" s="1"/>
  <c r="G657" s="1"/>
  <c r="D65" i="3"/>
  <c r="G632" i="1"/>
  <c r="G631" s="1"/>
  <c r="G627" s="1"/>
  <c r="H64"/>
  <c r="H63" s="1"/>
  <c r="H62" s="1"/>
  <c r="G525"/>
  <c r="G524" s="1"/>
  <c r="G523" s="1"/>
  <c r="G581"/>
  <c r="G580" s="1"/>
  <c r="G579" s="1"/>
  <c r="G578" s="1"/>
  <c r="D55" i="3" s="1"/>
  <c r="G142" i="2"/>
  <c r="G22" i="1"/>
  <c r="G21" s="1"/>
  <c r="G672"/>
  <c r="G671" s="1"/>
  <c r="H525"/>
  <c r="H524" s="1"/>
  <c r="H523" s="1"/>
  <c r="H22"/>
  <c r="H21" s="1"/>
  <c r="G380"/>
  <c r="G379" s="1"/>
  <c r="G378" s="1"/>
  <c r="G377" s="1"/>
  <c r="G416"/>
  <c r="G415" s="1"/>
  <c r="G414" s="1"/>
  <c r="F199" i="2"/>
  <c r="G620" i="1"/>
  <c r="G424"/>
  <c r="G423" s="1"/>
  <c r="E37" i="3"/>
  <c r="D31"/>
  <c r="G199" i="2"/>
  <c r="G184" s="1"/>
  <c r="G171"/>
  <c r="F254"/>
  <c r="F250" s="1"/>
  <c r="G264"/>
  <c r="E25" i="3"/>
  <c r="E24" s="1"/>
  <c r="H35" i="1"/>
  <c r="E41" i="3"/>
  <c r="E40" s="1"/>
  <c r="H103" i="1"/>
  <c r="H102" s="1"/>
  <c r="H101" s="1"/>
  <c r="E63" i="3" s="1"/>
  <c r="G103" i="1"/>
  <c r="G102" s="1"/>
  <c r="G101" s="1"/>
  <c r="D63" i="3" s="1"/>
  <c r="G34" i="1"/>
  <c r="G33" s="1"/>
  <c r="E30" i="3"/>
  <c r="H41" i="1"/>
  <c r="H42"/>
  <c r="E53" i="3"/>
  <c r="D53"/>
  <c r="G560" i="1" l="1"/>
  <c r="G78" i="2"/>
  <c r="G59" s="1"/>
  <c r="G685" i="1"/>
  <c r="G684" s="1"/>
  <c r="G683" s="1"/>
  <c r="G682" s="1"/>
  <c r="G52" i="2"/>
  <c r="G50" s="1"/>
  <c r="H434" i="1"/>
  <c r="H433" s="1"/>
  <c r="G243"/>
  <c r="G241"/>
  <c r="G211" s="1"/>
  <c r="F102" i="2"/>
  <c r="G598" i="1"/>
  <c r="G597" s="1"/>
  <c r="G704"/>
  <c r="G703" s="1"/>
  <c r="G702" s="1"/>
  <c r="G701" s="1"/>
  <c r="F52" i="2"/>
  <c r="F50" s="1"/>
  <c r="G434" i="1"/>
  <c r="G20"/>
  <c r="G19" s="1"/>
  <c r="G18" s="1"/>
  <c r="H20"/>
  <c r="H19" s="1"/>
  <c r="H61"/>
  <c r="H60" s="1"/>
  <c r="H53" s="1"/>
  <c r="E62" i="3"/>
  <c r="D62"/>
  <c r="E35"/>
  <c r="G656" i="1"/>
  <c r="D51" i="3" s="1"/>
  <c r="G150" i="2"/>
  <c r="G466" i="1"/>
  <c r="G41"/>
  <c r="G40"/>
  <c r="D25" i="3" s="1"/>
  <c r="D24" s="1"/>
  <c r="F21" i="2"/>
  <c r="H606" i="1"/>
  <c r="H598" s="1"/>
  <c r="H597" s="1"/>
  <c r="H670"/>
  <c r="G254" i="2"/>
  <c r="G250" s="1"/>
  <c r="F184"/>
  <c r="H416" i="1"/>
  <c r="H415" s="1"/>
  <c r="H414" s="1"/>
  <c r="G670"/>
  <c r="D58" i="3"/>
  <c r="D57" s="1"/>
  <c r="D26"/>
  <c r="H619" i="1"/>
  <c r="H618" s="1"/>
  <c r="H397"/>
  <c r="H396" s="1"/>
  <c r="H395" s="1"/>
  <c r="H394" s="1"/>
  <c r="G397"/>
  <c r="G396" s="1"/>
  <c r="G395" s="1"/>
  <c r="G394" s="1"/>
  <c r="G145"/>
  <c r="G144"/>
  <c r="G143" s="1"/>
  <c r="G123" s="1"/>
  <c r="H522"/>
  <c r="H365"/>
  <c r="D41" i="3"/>
  <c r="D40" s="1"/>
  <c r="E48"/>
  <c r="G522" i="1"/>
  <c r="G521" s="1"/>
  <c r="D46" i="3" s="1"/>
  <c r="D48"/>
  <c r="G363" i="1"/>
  <c r="G362" s="1"/>
  <c r="G619"/>
  <c r="G618" s="1"/>
  <c r="D50" i="3" s="1"/>
  <c r="H380" i="1"/>
  <c r="H379" s="1"/>
  <c r="G413"/>
  <c r="G412" s="1"/>
  <c r="G411" s="1"/>
  <c r="G100"/>
  <c r="H100"/>
  <c r="D30" i="3"/>
  <c r="G465" i="1" l="1"/>
  <c r="D45" i="3" s="1"/>
  <c r="G559" i="1"/>
  <c r="G558" s="1"/>
  <c r="G433"/>
  <c r="D44" i="3" s="1"/>
  <c r="D54"/>
  <c r="D52" s="1"/>
  <c r="F49" i="2"/>
  <c r="F270" s="1"/>
  <c r="D47" i="3"/>
  <c r="G587" i="1"/>
  <c r="D18" i="3"/>
  <c r="G700" i="1"/>
  <c r="G699" s="1"/>
  <c r="H18"/>
  <c r="H17" s="1"/>
  <c r="E21" i="3"/>
  <c r="D49"/>
  <c r="G39" i="1"/>
  <c r="G17" s="1"/>
  <c r="G21" i="2"/>
  <c r="E47" i="3"/>
  <c r="D32"/>
  <c r="D28" s="1"/>
  <c r="H587" i="1"/>
  <c r="D35" i="3"/>
  <c r="G122" i="1"/>
  <c r="G681"/>
  <c r="D21" i="3"/>
  <c r="H378" i="1"/>
  <c r="H377" s="1"/>
  <c r="E54" i="3"/>
  <c r="E52" s="1"/>
  <c r="H617" i="1"/>
  <c r="E50" i="3"/>
  <c r="E49" s="1"/>
  <c r="D23"/>
  <c r="E44"/>
  <c r="E46"/>
  <c r="H521" i="1"/>
  <c r="H364"/>
  <c r="E27" i="3" s="1"/>
  <c r="E31"/>
  <c r="E32"/>
  <c r="G617" i="1"/>
  <c r="G432" l="1"/>
  <c r="G431" s="1"/>
  <c r="D43" i="3"/>
  <c r="H586" i="1"/>
  <c r="G586"/>
  <c r="D16" i="3"/>
  <c r="H363" i="1"/>
  <c r="H362" s="1"/>
  <c r="E26" i="3"/>
  <c r="G49" i="2"/>
  <c r="E45" i="3"/>
  <c r="E43" s="1"/>
  <c r="H465" i="1"/>
  <c r="H432" s="1"/>
  <c r="H431" s="1"/>
  <c r="H429"/>
  <c r="H428" s="1"/>
  <c r="H424" s="1"/>
  <c r="H423" s="1"/>
  <c r="H413" s="1"/>
  <c r="H412" s="1"/>
  <c r="H411" s="1"/>
  <c r="E28" i="3"/>
  <c r="D66" l="1"/>
  <c r="G721" i="1"/>
  <c r="H721"/>
  <c r="D68" i="3" l="1"/>
  <c r="F272" i="2"/>
  <c r="E23" i="3"/>
  <c r="E16" s="1"/>
  <c r="E66" s="1"/>
  <c r="G123" i="2"/>
  <c r="E68" i="3" l="1"/>
  <c r="G270" i="2"/>
  <c r="G272" l="1"/>
</calcChain>
</file>

<file path=xl/sharedStrings.xml><?xml version="1.0" encoding="utf-8"?>
<sst xmlns="http://schemas.openxmlformats.org/spreadsheetml/2006/main" count="2986" uniqueCount="610">
  <si>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</si>
  <si>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</si>
  <si>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</si>
  <si>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</si>
  <si>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</si>
  <si>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</si>
  <si>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</si>
  <si>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</si>
  <si>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</si>
  <si>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</si>
  <si>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</si>
  <si>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 xml:space="preserve">Ведомственная структура расходов районного бюджета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</si>
  <si>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</si>
  <si>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</si>
  <si>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</si>
  <si>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</si>
  <si>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</si>
  <si>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</si>
  <si>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</si>
  <si>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</si>
  <si>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</si>
  <si>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</si>
  <si>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</si>
  <si>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</si>
  <si>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Общеэкономические вопросы</t>
  </si>
  <si>
    <t>Иные 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</si>
  <si>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</si>
  <si>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</si>
  <si>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Дотации</t>
  </si>
  <si>
    <t>Прочие межбюджетные трансферты общего характера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</si>
  <si>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</si>
  <si>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</si>
  <si>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</si>
  <si>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</si>
  <si>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</si>
  <si>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</si>
  <si>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</si>
  <si>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</si>
  <si>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</si>
  <si>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Отдельное мероприятие программы</t>
  </si>
  <si>
    <t>Транспорт</t>
  </si>
  <si>
    <t>Сельское хозяйство и рыболовство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</si>
  <si>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</si>
  <si>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</si>
  <si>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</si>
  <si>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</si>
  <si>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</si>
  <si>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</si>
  <si>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</si>
  <si>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</si>
  <si>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</si>
  <si>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</si>
  <si>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</si>
  <si>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</si>
  <si>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</si>
  <si>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</si>
  <si>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</si>
  <si>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</si>
  <si>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</si>
  <si>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</si>
  <si>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</si>
  <si>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</si>
  <si>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</si>
  <si>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</si>
  <si>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</si>
  <si>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</si>
  <si>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</si>
  <si>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Субсидии бюджетным учреждениям</t>
  </si>
  <si>
    <t>Культура</t>
  </si>
  <si>
    <t>Подпрограмма "Культурное наследие"</t>
  </si>
  <si>
    <t>Подпрограмма "Искусство и народное творчество"</t>
  </si>
  <si>
    <t>Молодежная политика и оздоровление детей</t>
  </si>
  <si>
    <t>Муниципальная программа "Молодежь Мотыгинского района в ХХ1 веке"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</si>
  <si>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</si>
  <si>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</si>
  <si>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Руководство и управление в сфере установленных функций органов исполнительной власти 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</si>
  <si>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</si>
  <si>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</si>
  <si>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</si>
  <si>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</si>
  <si>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</si>
  <si>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</si>
  <si>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</si>
  <si>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</si>
  <si>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</si>
  <si>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</si>
  <si>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</si>
  <si>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</si>
  <si>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</si>
  <si>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</si>
  <si>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</si>
  <si>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</si>
  <si>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</si>
  <si>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</si>
  <si>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</si>
  <si>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</si>
  <si>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</si>
  <si>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</si>
  <si>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</si>
  <si>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</si>
  <si>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</si>
  <si>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</si>
  <si>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</si>
  <si>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</si>
  <si>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</si>
  <si>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</si>
  <si>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</si>
  <si>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</si>
  <si>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</si>
  <si>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</si>
  <si>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</si>
  <si>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</si>
  <si>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</si>
  <si>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</si>
  <si>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</si>
  <si>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</si>
  <si>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</si>
  <si>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</si>
  <si>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</si>
  <si>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</si>
  <si>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</si>
  <si>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</si>
  <si>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</si>
  <si>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</si>
  <si>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</si>
  <si>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</si>
  <si>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</si>
  <si>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1003</t>
  </si>
  <si>
    <t>1006</t>
  </si>
  <si>
    <t>1400</t>
  </si>
  <si>
    <t>1401</t>
  </si>
  <si>
    <t>1403</t>
  </si>
  <si>
    <t>Условно утвержденные расходы</t>
  </si>
  <si>
    <t>ВСЕГО</t>
  </si>
  <si>
    <t/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</si>
  <si>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</si>
  <si>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</si>
  <si>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</si>
  <si>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</si>
  <si>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</si>
  <si>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Подпрограмма "Безопасность дорожного движения в Мотыгинском районе 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</si>
  <si>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</si>
  <si>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</si>
  <si>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</si>
  <si>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</si>
  <si>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</si>
  <si>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</si>
  <si>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</si>
  <si>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</si>
  <si>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</si>
  <si>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Итого</t>
  </si>
  <si>
    <t>Приложение № 5</t>
  </si>
  <si>
    <t>к решению Мотыгинского районного</t>
  </si>
  <si>
    <t>099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</si>
  <si>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</si>
  <si>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</si>
  <si>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</si>
  <si>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</si>
  <si>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Дополнительное образование</t>
  </si>
  <si>
    <t>094</t>
  </si>
  <si>
    <t>0105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</si>
  <si>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</si>
  <si>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</si>
  <si>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</si>
  <si>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</si>
  <si>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951</t>
  </si>
  <si>
    <t>1004</t>
  </si>
  <si>
    <t>0703</t>
  </si>
  <si>
    <t>0500000000</t>
  </si>
  <si>
    <t>0520000000</t>
  </si>
  <si>
    <t>0520000210</t>
  </si>
  <si>
    <t>0700000000</t>
  </si>
  <si>
    <t>0710000000</t>
  </si>
  <si>
    <t>0730000000</t>
  </si>
  <si>
    <t>0510000000</t>
  </si>
  <si>
    <t>0510076010</t>
  </si>
  <si>
    <t>0510050010</t>
  </si>
  <si>
    <t>0510050030</t>
  </si>
  <si>
    <t>0600000000</t>
  </si>
  <si>
    <t>0610000000</t>
  </si>
  <si>
    <t>0900000000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</si>
  <si>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</si>
  <si>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</si>
  <si>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</si>
  <si>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</si>
  <si>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</si>
  <si>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</si>
  <si>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</si>
  <si>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</si>
  <si>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0200000000</t>
  </si>
  <si>
    <t>0220000000</t>
  </si>
  <si>
    <t>0220000610</t>
  </si>
  <si>
    <t>0220075190</t>
  </si>
  <si>
    <t>0620000000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</si>
  <si>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</si>
  <si>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</si>
  <si>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</si>
  <si>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</si>
  <si>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</si>
  <si>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</si>
  <si>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</si>
  <si>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</si>
  <si>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</si>
  <si>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</si>
  <si>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</si>
  <si>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</si>
  <si>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</si>
  <si>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</si>
  <si>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</si>
  <si>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</si>
  <si>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</si>
  <si>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</si>
  <si>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0210000000</t>
  </si>
  <si>
    <t>0210000610</t>
  </si>
  <si>
    <t>0210000630</t>
  </si>
  <si>
    <t>0230000000</t>
  </si>
  <si>
    <t>0230000650</t>
  </si>
  <si>
    <t>0230000660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</si>
  <si>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</si>
  <si>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</si>
  <si>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</si>
  <si>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</si>
  <si>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</si>
  <si>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</si>
  <si>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</si>
  <si>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</si>
  <si>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</si>
  <si>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НЕПРОГРАММНЫЕ РАСХОДЫ ОРГАНОВ ИСПОЛНИТЕЛЬНОЙ ВЛАСТИ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</si>
  <si>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</si>
  <si>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</si>
  <si>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</si>
  <si>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</si>
  <si>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</si>
  <si>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</si>
  <si>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</si>
  <si>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</si>
  <si>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</si>
  <si>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</si>
  <si>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</si>
  <si>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</si>
  <si>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0250000000</t>
  </si>
  <si>
    <t>0410000000</t>
  </si>
  <si>
    <t>0430000000</t>
  </si>
  <si>
    <t>0720000000</t>
  </si>
  <si>
    <t>Реализация мероприятий на проведение и организацию акарицидных обработок мест массового отдыха населения</t>
  </si>
  <si>
    <t>0320076490</t>
  </si>
  <si>
    <t>Совета депутатов</t>
  </si>
  <si>
    <t>МУНИЦИПАЛЬНАЯ ПРОГРАММА "РАЗВИТИЕ ФИЗИЧЕСКОЙ КУЛЬТУРЫ И СПОРТА НА ТЕРРИТОРИИ МОТЫГИНСКОГО РАЙОНА"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</si>
  <si>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</si>
  <si>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</si>
  <si>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</si>
  <si>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</si>
  <si>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</si>
  <si>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ФИЗИЧЕСКАЯ КУЛЬТУРА И СПОРТ</t>
  </si>
  <si>
    <t>Подпрограмма "Содержание автомобильных дорог общего пользования местного значения"</t>
  </si>
  <si>
    <t>Непрограммные расходы администрации Мотыгинского района</t>
  </si>
  <si>
    <t>Функционирование администрации Мотыгинского района</t>
  </si>
  <si>
    <t>Глава муниципального образования в рамках непрограммных расходов администрации Мотыгинского района</t>
  </si>
  <si>
    <t>8500000000</t>
  </si>
  <si>
    <t>8510000000</t>
  </si>
  <si>
    <t>8510000220</t>
  </si>
  <si>
    <t>Функционирование финансово-экономического управления администрации Мотыгинского района</t>
  </si>
  <si>
    <t>0690084020</t>
  </si>
  <si>
    <t>85100S5550</t>
  </si>
  <si>
    <t>Муниципальная программа " Обеспечение доступным и комфортным жильем жителей в Мотыгинского района"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</si>
  <si>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</si>
  <si>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Подпрограмма "Обеспечение реализации муниципальной программы"</t>
  </si>
  <si>
    <t>Субсидии юридическим лицам (за исключением государственных и  муниципальных учреждений) и 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регулированием тарифов на перевозки пассажиров внутренним водным транспортом в местном сообщении</t>
  </si>
  <si>
    <t>Связь и информатика</t>
  </si>
  <si>
    <t>0410</t>
  </si>
  <si>
    <t>Реализация отдельных мер по обеспечению ограничения платы граждан за коммунальные услуги</t>
  </si>
  <si>
    <t>11200L4970</t>
  </si>
  <si>
    <t>9100000000</t>
  </si>
  <si>
    <t>9170000000</t>
  </si>
  <si>
    <t>Функционирование централизованной бухгалтерии муниципального образования Мотыгинский район</t>
  </si>
  <si>
    <t>Непрограммные расходы казенных учреждений</t>
  </si>
  <si>
    <t>9170000610</t>
  </si>
  <si>
    <t>Непрограммные расходы Контрольно-счетного органа Мотыгинского района</t>
  </si>
  <si>
    <t>Функционирование Контрольно-счетного органа Мотыгинского района</t>
  </si>
  <si>
    <t>Функционирование Мотыгинского районного Совета депутатов</t>
  </si>
  <si>
    <t>Муниципальная программа  "Содействие развитию местного самоуправления"</t>
  </si>
  <si>
    <t>МУНИЦИПАЛЬНОЕ КАЗЕННОЕ УЧРЕЖДЕНИЕ "СЛУЖБА ЗЕМЕЛЬНО-ИМУЩЕСТВЕННЫХ ОТНОШЕНИЙ  МОТЫГИНСКОГО РАЙОНА"</t>
  </si>
  <si>
    <t>Функционирование службы земельно-имущественных отношений Мотыгинского района</t>
  </si>
  <si>
    <t>0610000850</t>
  </si>
  <si>
    <t>0610017110</t>
  </si>
  <si>
    <t>Муниципальная программа "Содействие развитию местного самоуправления""</t>
  </si>
  <si>
    <t>Организация общественных работ на территории Мотыгинского района, обеспечивающих временную занятость и материальную поддержку безработных граждан</t>
  </si>
  <si>
    <t>Предоставление выпадающих доходов , возникающих в результате поставки населению по регулируемым ценам (тарифам) электрической энергии, вырабатываемой дизельными электростанциями</t>
  </si>
  <si>
    <t>0810000610</t>
  </si>
  <si>
    <t>Финансирование расходов на содержание единых дежурно-диспетчерских служб</t>
  </si>
  <si>
    <t>08100S4130</t>
  </si>
  <si>
    <t>Подпрограмма "Благоустройство территорий поселений"</t>
  </si>
  <si>
    <t>0240000660</t>
  </si>
  <si>
    <t>0690000000</t>
  </si>
  <si>
    <t>Подпрограмма "Осуществление деятельности по обеспечению безопасности в чрезвычайных ситуациях"</t>
  </si>
  <si>
    <t>08200000000</t>
  </si>
  <si>
    <t>Подпрограмма "Капитальный ремонт и ремонт автомобильных дорог общего пользования местного значения"</t>
  </si>
  <si>
    <t>НЕПРОГРАММГЫЕ РАСХОДЫ АДМИНИСТРАЦИИ МОТЫГИНСКОГО РАЙОНА</t>
  </si>
  <si>
    <t>НЕПРОГРАММНЫЕ РАХОДЫ КАЗЕННЫХ УЧРЕЖДЕНИЙ</t>
  </si>
  <si>
    <t>Обеспечение деятельности подведомственных учреждений в рамках непрограммных расходов</t>
  </si>
  <si>
    <t>НЕПРОГРАММНЫЕ РАСХОДЫ КОНТРОЛЬНО-СЧЕТНОГО ОРГАНА МОТЫГИНСКОГО РАЙОНА</t>
  </si>
  <si>
    <t>Подпрограмма «Вовлечение молодежи Мотыгинского района в социальную практику "</t>
  </si>
  <si>
    <t>0410000610</t>
  </si>
  <si>
    <t>04100S4560</t>
  </si>
  <si>
    <t>952</t>
  </si>
  <si>
    <t>0420086030</t>
  </si>
  <si>
    <t>0430086060</t>
  </si>
  <si>
    <t>Подпрограмма "Патриотическое воспитание молодежи Мотыгинского района"</t>
  </si>
  <si>
    <t>Муниципальная программа "Содействие развитию местного самоуправления"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</si>
  <si>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</si>
  <si>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Подпрограмма " Чистая вода Мотыгинского района"</t>
  </si>
  <si>
    <t>Подпрограмма " Энергосбережение и повышение энергетической эффективности Мотыгинского района"</t>
  </si>
  <si>
    <t>Подпрограмма "Развитие воздушного, водного и автомобильного пассажирского транспорта."</t>
  </si>
  <si>
    <t>Подпрограмма "Содержание автомобильных дорог общего пользования местного значения "</t>
  </si>
  <si>
    <t>Подпрограмма "Развитие массовой физической культуры и спорта на территории Мотыгинского района"</t>
  </si>
  <si>
    <t>Подпрограмма "Внедрение Всероссийского физкультурно-спортивного комплекса "Готов к труду и обороне" (ГТО) в Мотыгинском районе"</t>
  </si>
  <si>
    <t xml:space="preserve">Муниципальная программа  "Развитие культуры и туризма" </t>
  </si>
  <si>
    <t xml:space="preserve">Муниципальная программа "Развитие культуры и туризма" </t>
  </si>
  <si>
    <t>Подпрограмма "Обеспечение реализации общественных и гражданских инициатив и поддержка социально-ориентированных некоммерческих организаций "</t>
  </si>
  <si>
    <t>Муниципальная программа Мотыгинского района "Управление муниципальными финансами"</t>
  </si>
  <si>
    <t>Непрограммные расходы представительного органа власти</t>
  </si>
  <si>
    <t xml:space="preserve">Депутаты представительного органа </t>
  </si>
  <si>
    <t>957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</si>
  <si>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непрограммных расходов представительного органа власти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</si>
  <si>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представительного органа власти</t>
  </si>
  <si>
    <t>Осуществление части полномочий по исполнению бюджета поселения, ведения бухгалтерского учета и формирования бюджетной отчетности</t>
  </si>
  <si>
    <t>9170084560</t>
  </si>
  <si>
    <t xml:space="preserve">Субвенции бюджетам муниципальных образований на осуществление государственных полномочий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</si>
  <si>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>Муниципальная программа "Развитие культуры и туризма"</t>
  </si>
  <si>
    <t xml:space="preserve">Обеспечение деятельности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</si>
  <si>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 xml:space="preserve">Обеспечение деятельности подведомственных учреждений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 </t>
  </si>
  <si>
    <t>НЕПРОГРАММНЫЕ РАСХОДЫ ПРЕДСТАВИТЕЛЬНЫХ ОРГАНОВ ВЛАСТИ</t>
  </si>
  <si>
    <t xml:space="preserve"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</si>
  <si>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</si>
  <si>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</si>
  <si>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</si>
  <si>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Обеспечение деятельности (оказание услуг) подведомственных учреждений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</si>
  <si>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 xml:space="preserve">Субвенции бюджетам муниципальных образований  на осуществление государственных полномочий по обеспечению отдыха и оздоровления детей в рамках подпрограммы "Развитие общего образования" муниципальной программы «Развитие общего и дополнительного образования в Мотыгинском районе » 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</si>
  <si>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</si>
  <si>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</si>
  <si>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Руководство и управление в сфере делегированных полномочий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</si>
  <si>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</si>
  <si>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</si>
  <si>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</si>
  <si>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</si>
  <si>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Обеспечение деятельности, содержание МБУ "Молодежный центр Мотыгинского района 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</si>
  <si>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>Создание условий для развития и совершенствования системы патриотического воспитания молодежи Мотыгинского района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</si>
  <si>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Содействие формированию пространства, способствующего развитию гражданских инициатив и поддержка социально-ориентированных некоммерческих организаций на территории Мотыгинского района  в рамках подпрограммы "Обеспечение реализации общественных и гражданских инициатив и поддержка социально-ориентированных некоммерческих организаций " муниципальной программа "Молодежь Мотыгинского района в ХХ1 веке"</t>
  </si>
  <si>
    <t xml:space="preserve">Обеспечение деятельности (оказание услуг) подведомственных учреждений  (развитие библиотечного дела) в рамках подпрограммы "Культурное наследие"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</si>
  <si>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(музей) в рамках подпрограммы "Культурное наследие" 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</si>
  <si>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(СКЦ) в рамках подпрограммы "Искусство и народное творчество"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</si>
  <si>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(СДК) в рамках подпрограммы "Искусство и народное творчество" муниципальной программы  "Развитие культуры и туризма" </t>
  </si>
  <si>
    <t xml:space="preserve">Комплектование книжных фондов библиотек  муниципального образования Мотыгинский район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</si>
  <si>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0110000000</t>
  </si>
  <si>
    <t>0110080070</t>
  </si>
  <si>
    <t>0120000000</t>
  </si>
  <si>
    <t>0120080080</t>
  </si>
  <si>
    <t>Реализация комплекса мер, направленных на стимулирование и вовлечение населения в занятия физической культурой и спортом в рамках подпрограммы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</si>
  <si>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Создание условий для развития и популяризации комплекса ГТО на территории Мотыгинского района в рамках подпрограммы "Внедрение Всероссийского физкультурно-спортивного комплекса "Готов к труду и обороне" (ГТО) в Мотыгинском районе" муниципальной программы "Развитие физической культуры и спорта на территории Мотыгинского района"</t>
  </si>
  <si>
    <t>0100000000</t>
  </si>
  <si>
    <t>Поддержка деятельности муниципальных молодежных центров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</si>
  <si>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 xml:space="preserve"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</si>
  <si>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</si>
  <si>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03200S5630</t>
  </si>
  <si>
    <t>Оценка недвижимости , признание прав и регулирование отношений по государственной и муниципальной собственности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</si>
  <si>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Мероприятия по землеустройству и землепользованию  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</si>
  <si>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</si>
  <si>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</si>
  <si>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0520000220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</si>
  <si>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</si>
  <si>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Предоставление дотаций на выравнивание бюджетной обеспеченности муниципальных образований Мотыгинского района счет средств районного  бюджета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</si>
  <si>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Жилищное хозяйство</t>
  </si>
  <si>
    <t>0501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</si>
  <si>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 в рамках непрограммных расходов администрации Мотыгинского района</t>
  </si>
  <si>
    <t>8510000250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</si>
  <si>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администрации Мотыгинского района</t>
  </si>
  <si>
    <t>Муниципальная программа "Развитие малого, среднего предпринимательства и  сельского хозяйства в Мотыгинском районе"</t>
  </si>
  <si>
    <t>0920000000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</si>
  <si>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</si>
  <si>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>0310</t>
  </si>
  <si>
    <t>МУНИЦИПАЛЬНАЯ ПРОГРАММА "РАЗВИТИЕ МАЛОГО,СРЕДНЕГО ПРЕДПРИНИМАТЕЛЬСТВА И СЕЛЬСКОГО ХОЗЯЙСТВА В МОТЫГИНСКОМ РАЙОНЕ"</t>
  </si>
  <si>
    <t>0910000000</t>
  </si>
  <si>
    <t>Подпрограмма "Эффективное управление муниципальной собственностью и земельными ресурсами на территории Мотыгинского района"</t>
  </si>
  <si>
    <t>0630000000</t>
  </si>
  <si>
    <t>09100S6070</t>
  </si>
  <si>
    <t>Субвенции бюджетам муниципальных образований на осуществление деятельности по опеке и попечительству в отношении совершеннолетних граждан, а также в сфере патронажа</t>
  </si>
  <si>
    <t>Оплата взносов за капитальный ремонт региональному фонду</t>
  </si>
  <si>
    <t>Подпрограмма "Обеспечение реализации и прочие мероприятия"</t>
  </si>
  <si>
    <t>Исполнение полномочий района по предоставлению выплаты пенсии за выслугу лет  лицам, замещавшим муниципальные должности муниципальной службы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</si>
  <si>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0630001110</t>
  </si>
  <si>
    <t>Публичные нормативные социальные выплаты гражданам</t>
  </si>
  <si>
    <t>0630080010</t>
  </si>
  <si>
    <t>Предоставление адресной материальной помощи ко Дню Победы 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</si>
  <si>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0630080020</t>
  </si>
  <si>
    <t xml:space="preserve">Комплектование книжных фондов библиотек Мотыгинского района  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</si>
  <si>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</si>
  <si>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Председатель представительного органа муниципальной власти муниципального района в рамках непрограммных расходов представительного органа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</si>
  <si>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</si>
  <si>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</t>
  </si>
  <si>
    <t>Предоставление дотаций на выравнивание бюджетной обеспеченности муниципальных образований Мотыгинского района  за счет средств субвенции из краевого бюджета на осуществление отдельных государственных полномочий по расчету и предоставлению дотаций поселениям 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</si>
  <si>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</si>
  <si>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Подпрограмма "Профилактика правонарушений и укрепление общественного порядка и общественной безопасности"</t>
  </si>
  <si>
    <t>Другие вопросы в области жилищно-коммунального хозяйства</t>
  </si>
  <si>
    <t>0505</t>
  </si>
  <si>
    <t>Осуществление части полномочий по градостроительной деятельности</t>
  </si>
  <si>
    <t>02400S4880</t>
  </si>
  <si>
    <t>Обслуживание государственного внутреннего и муниципального долга</t>
  </si>
  <si>
    <t>1301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</si>
  <si>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</si>
  <si>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</si>
  <si>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</si>
  <si>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МУНИЦИПАЛЬЕНОГО ДОЛГА</t>
  </si>
  <si>
    <t>Обслуживание государственного и внутреннего долга</t>
  </si>
  <si>
    <t>Охрана окружающей среды</t>
  </si>
  <si>
    <t>0600</t>
  </si>
  <si>
    <t>0603</t>
  </si>
  <si>
    <t>ОХРАНА ОКРУЖАЮЩЕЙ СРЕДЫ</t>
  </si>
  <si>
    <t>Охрана объектов растительного и животного мира среды их обитания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</si>
  <si>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</si>
  <si>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03200L3040</t>
  </si>
  <si>
    <t>Другие вопросы в области охраны окружающей среды</t>
  </si>
  <si>
    <t>0605</t>
  </si>
  <si>
    <t>Содержание объектов жилищного фонда в рамках подпрограммы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 муниципальной программы  "Обеспечение доступным и комфортным жильем жителей Мотыгинского района"</t>
  </si>
  <si>
    <t>Содержание объектов недвижимого имущества, за исключением объектов жилищного фонда в рамках непрограммных расходов администрации Мотыгинского района</t>
  </si>
  <si>
    <t>от ________ № _______</t>
  </si>
  <si>
    <t>04200S4540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</si>
  <si>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</si>
  <si>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'Развитие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</si>
  <si>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0330000670</t>
  </si>
  <si>
    <t>Субсидии автономным учреждениям</t>
  </si>
  <si>
    <t>'Иные бюджетные ассигнования</t>
  </si>
  <si>
    <t>'Субсидии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</si>
  <si>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трудовому воспитанию несовершеннолетних</t>
  </si>
  <si>
    <t>0410086040</t>
  </si>
  <si>
    <t>'Защита населения и территории от чрезвычайных ситуаций природного и техногенного характера, гражданская оборона</t>
  </si>
  <si>
    <t>0820000000</t>
  </si>
  <si>
    <t>Профилактика правонарушений на территории муниципального образования Мотыгинский район</t>
  </si>
  <si>
    <t>0820091020</t>
  </si>
  <si>
    <t>0820091030</t>
  </si>
  <si>
    <t>0810091010</t>
  </si>
  <si>
    <t>0820091040</t>
  </si>
  <si>
    <t>'Осуществление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</si>
  <si>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'Профилактика терроризма и экстремизма на территории муниципального образования Мотыгинский район</t>
  </si>
  <si>
    <t>'Противодействие незаконному обороту наркотических средств</t>
  </si>
  <si>
    <t>'Проведение мероприятий по трудовому воспитанию несовершеннолетних</t>
  </si>
  <si>
    <t>Благоустройство</t>
  </si>
  <si>
    <t>0503</t>
  </si>
  <si>
    <t>Приложение № 3</t>
  </si>
  <si>
    <t>от ___________ № _________</t>
  </si>
  <si>
    <t xml:space="preserve">'Обеспечение функционирования модели персонифицированного финансирования дополнительного образования детей 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</si>
  <si>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</si>
  <si>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некоммерческим организациям ( за исключением государственных (муниципальных) учреждений</t>
  </si>
  <si>
    <t xml:space="preserve">Председатель Контрольно-счетного органа Мотыгинского района </t>
  </si>
  <si>
    <t>Сумма на          2024 год</t>
  </si>
  <si>
    <t>Сумма на 2024 год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</si>
  <si>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</t>
  </si>
  <si>
    <t>Приложение № 4</t>
  </si>
  <si>
    <t>Организация деятельности лагерей с дневным пребыванием детей в рамках подпрограммы "Развитие общего образования" муниципальной программы  Мотыгинского района "Развитие общего и дополнительного образования в Мотыгинском районе"</t>
  </si>
  <si>
    <t>0320088270</t>
  </si>
  <si>
    <t>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</si>
  <si>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Иной межбюджетный трансферт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</si>
  <si>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 xml:space="preserve">0804 </t>
  </si>
  <si>
    <t>Мероприятие содействующее развитию социального туризма и туристической инфраструктуры Мотыгинского района в рамках подпрограммы "Развитие внутреннего и въездного туризма" муниципальной программы  "Развитие культуры и туризма"</t>
  </si>
  <si>
    <t>0250094800</t>
  </si>
  <si>
    <t>Государственная поддержка отрасли культура (модернизация библиотек части комплектования книжных фондов)</t>
  </si>
  <si>
    <t>024А155191</t>
  </si>
  <si>
    <t>Массовый спорт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</si>
  <si>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</si>
  <si>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образовательных учреждений сфере культуры музыкальными инструментами, оборудованием и учебными материалами</t>
  </si>
  <si>
    <t>09100S6680</t>
  </si>
  <si>
    <t>1100000000</t>
  </si>
  <si>
    <t>1150000000</t>
  </si>
  <si>
    <t>1150075870</t>
  </si>
  <si>
    <t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t>
  </si>
  <si>
    <t>Сумма на          2025 год</t>
  </si>
  <si>
    <t>Сумма на 2025 год</t>
  </si>
  <si>
    <t>Обустройство мест (площадок) накопления отходов потребления и (или) приобретение контейнерного оборудования</t>
  </si>
  <si>
    <t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t>
  </si>
  <si>
    <t>03100S8400</t>
  </si>
  <si>
    <t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</si>
  <si>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03200S5620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</si>
  <si>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</si>
  <si>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03200S4300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</si>
  <si>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и содержание специализированного жилищного фонда за счет средств бюджета муниципального образования"</t>
  </si>
  <si>
    <t>Подпрограмма "Развитие субъектов малого и среднего предпринимательства на территории Мотыгинского района"</t>
  </si>
  <si>
    <t>Подпрограмма "Развитие сельского хозяйства на территории Мотыгинского района"</t>
  </si>
  <si>
    <t>0930000000</t>
  </si>
  <si>
    <t>0930075170</t>
  </si>
  <si>
    <t>Сумма на          2026 год</t>
  </si>
  <si>
    <t>Подпрограмма "Чистая вода Мотыгинского района"</t>
  </si>
  <si>
    <t>Иной межбюджетный трансферт бюджетам муниципальных образований на реализацию мероприятий по капитальному ремонту, реконструкции, модернизации и строительству объектов водоснабжения коммунальной инфраструктуры</t>
  </si>
  <si>
    <t>0710085010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</si>
  <si>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</si>
  <si>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1200000000</t>
  </si>
  <si>
    <t>Подпрограмма "Охрана окружающей среды, воспроизводство природных ресурсов в Мотыгинском районе"</t>
  </si>
  <si>
    <t>1210000000</t>
  </si>
  <si>
    <t>1210075180</t>
  </si>
  <si>
    <t>1130000000</t>
  </si>
  <si>
    <t>1130084670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</si>
  <si>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</si>
  <si>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Осуществление части полномочий контрольно-счетного органа поселений по внешнему муниципальному финансовому контролю</t>
  </si>
  <si>
    <t>955</t>
  </si>
  <si>
    <t>8210084600</t>
  </si>
  <si>
    <t xml:space="preserve"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</si>
  <si>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 xml:space="preserve"> 02400S4840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</si>
  <si>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</t>
  </si>
  <si>
    <t>032Е151720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</si>
  <si>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</si>
  <si>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</si>
  <si>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03100S5820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</si>
  <si>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</si>
  <si>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03300S4370</t>
  </si>
  <si>
    <t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</si>
  <si>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03200S8450</t>
  </si>
  <si>
    <t>0240080060</t>
  </si>
  <si>
    <t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t>
  </si>
  <si>
    <t>8510076850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</si>
  <si>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2025-2026 годов</t>
  </si>
  <si>
    <t>Сумма на 2024  год</t>
  </si>
  <si>
    <t>Сумма на 2026 год</t>
  </si>
  <si>
    <t>(рублей)</t>
  </si>
  <si>
    <t>на 2024 год и плановый период 2025-2026 гг.</t>
  </si>
  <si>
    <t>( рублей)</t>
  </si>
  <si>
    <t>рублей</t>
  </si>
  <si>
    <t>12100S4630</t>
  </si>
  <si>
    <t>Разработка генерального плана и проекта правил землепользования и застройки муниципального образования Новоангарский сельсовет</t>
  </si>
  <si>
    <t>Реализация образовательного наставнического проекта в области культуры и искусства "Историческое погружение "От Рыбенского острога до …"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</si>
  <si>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гг.</t>
  </si>
  <si>
    <t>1210089110</t>
  </si>
  <si>
    <t>1210089120</t>
  </si>
  <si>
    <t>1210089130</t>
  </si>
  <si>
    <t>8510074290</t>
  </si>
  <si>
    <t>8510051200</t>
  </si>
  <si>
    <t>Создание условий для оснащения (обновление материально-технической базы) оборудованием,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"Развитие общего образования" муниципальной программы "Развитие общего и дополнительного образования в Мотыгинском районе"</t>
  </si>
  <si>
    <t>0320015210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</si>
  <si>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</si>
  <si>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03200S5830</t>
  </si>
  <si>
    <t>'Закупка товаров, работ и услуг для обеспечения государственных (муниципальных) нужд</t>
  </si>
  <si>
    <t>'Иные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</si>
  <si>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</si>
  <si>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характера"</t>
  </si>
  <si>
    <t>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</si>
  <si>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08100S4120</t>
  </si>
  <si>
    <t>'Межбюджетные трансферты</t>
  </si>
  <si>
    <t>'Иные межбюджетные трансферты</t>
  </si>
  <si>
    <t>1102</t>
  </si>
  <si>
    <t>0110074180</t>
  </si>
  <si>
    <t>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</si>
  <si>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06200S6410</t>
  </si>
  <si>
    <t>02400L5190</t>
  </si>
  <si>
    <t>024А255195</t>
  </si>
  <si>
    <t>'Предоставление субсидий бюджетным, автономным учреждениям и иным некоммерческим организациям</t>
  </si>
  <si>
    <t>024А255196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</si>
  <si>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</si>
  <si>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</si>
  <si>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Непрограммные расходы Управления образования Мотыгинского района</t>
  </si>
  <si>
    <t>9140000000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</si>
  <si>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</si>
  <si>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91Г0008530</t>
  </si>
  <si>
    <t>'Субсидии бюджетным учреждениям</t>
  </si>
  <si>
    <t>03200L3030</t>
  </si>
  <si>
    <t>'Социальное обеспечение и иные выплаты населению</t>
  </si>
  <si>
    <t>03200L3041</t>
  </si>
  <si>
    <t>03300S5680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</si>
  <si>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t>
  </si>
  <si>
    <t>032ЕВ51790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</si>
  <si>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</si>
  <si>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</si>
  <si>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</si>
  <si>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'Осуществление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</si>
  <si>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0310080210</t>
  </si>
  <si>
    <t>0320080210</t>
  </si>
  <si>
    <t>''Предоставление субсидий бюджетным, автономным учреждениям и иным некоммерческим организациям</t>
  </si>
  <si>
    <t>''Субсидии бюджетным учреждениям</t>
  </si>
  <si>
    <t>0330080210</t>
  </si>
  <si>
    <t>0320080040</t>
  </si>
  <si>
    <t>0320088140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</si>
  <si>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</si>
  <si>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'''Предоставление субсидий бюджетным, автономным учреждениям и иным некоммерческим организациям</t>
  </si>
  <si>
    <t>'Проведение капитальных и текущих ремонтов общеобразовательных учреждений в рамках подпрограммы"Развитие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</si>
  <si>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</si>
  <si>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</si>
  <si>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Подготовка дошкольных учреждений к новому учебному году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</si>
  <si>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</si>
  <si>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Проведение капитальных и текущих ремонтов общеобразовательных учреждений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</si>
  <si>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Оснащение образовательных учреждений сфере культуры музыкальными инструментами, оборудованием и учебными материалами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</si>
  <si>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</si>
  <si>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муниципальной программы Мотыгинского района "Развитие общего и дополнительного образования в Мотыгинском районе"</t>
  </si>
  <si>
    <t>'Организация и обеспечение обучающихся по образовательным программам начального общего образования в муниципальных образовательных организациях, 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</si>
  <si>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'Другие вопросы в области охраны окружающей среды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</si>
  <si>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</si>
  <si>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0310088140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</si>
  <si>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</si>
  <si>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08100S6750</t>
  </si>
  <si>
    <t>Приобретение извещателей дымовых автономных отдельным категориям граждан в целях оснащения ими жилых помещений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</si>
  <si>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</si>
  <si>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правонарушений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</si>
  <si>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терроризма и экстремизма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</si>
  <si>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Противодействие незаконному обороту наркотических средств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</si>
  <si>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</si>
  <si>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</si>
  <si>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Обустройство мест (площадок) накопления отходов потребления и (или) приобретение контейнерного оборудования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</si>
  <si>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</si>
  <si>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</si>
  <si>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'Освобождение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</si>
  <si>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Внесение изменений в Местные нормативы градостроительного проектирования Мотыгинского района Красноярского края и муниципальных образований, входящих в его состав в рамках подпрограммы "Территориальное планирование, градостроительное зонирование и документация по планировке территории Мотыгинского района" Муниципальная программа " Обеспечение доступным и комфортным жильем в Мотыгинском районе "</t>
  </si>
  <si>
    <t>1130084690</t>
  </si>
  <si>
    <t>'Подготовка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</si>
  <si>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</si>
  <si>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r>
      <t xml:space="preserve">от </t>
    </r>
    <r>
      <rPr>
        <u/>
        <sz val="11"/>
        <color theme="1"/>
        <rFont val="Times New Roman"/>
        <family val="1"/>
        <charset val="204"/>
      </rPr>
      <t>19.12.2023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23-254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</si>
</sst>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1" fillId="0" borderId="0" applyFont="0" applyFill="0" applyBorder="0" applyAlignment="0" applyProtection="0"/>
  </cellStyleXfs>
  <cellXfs count="39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2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164" fontId="10" fillId="3" borderId="1" xfId="2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4" fillId="0" borderId="1" xfId="2" applyFont="1" applyFill="1" applyBorder="1" applyAlignment="1">
      <alignment horizontal="center" vertical="center"/>
    </xf>
    <xf numFmtId="164" fontId="10" fillId="0" borderId="1" xfId="2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quotePrefix="1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quotePrefix="1" applyNumberFormat="1" applyFont="1" applyBorder="1" applyAlignment="1">
      <alignment horizontal="justify" vertical="center" wrapText="1"/>
    </xf>
    <xf numFmtId="0" fontId="7" fillId="0" borderId="1" xfId="0" quotePrefix="1" applyNumberFormat="1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12" fillId="0" borderId="1" xfId="0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7" fillId="0" borderId="1" xfId="0" quotePrefix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0" fillId="0" borderId="0" xfId="2" applyFont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2" applyFont="1" applyFill="1" applyBorder="1"/>
    <xf numFmtId="0" fontId="3" fillId="0" borderId="1" xfId="0" applyFont="1" applyBorder="1"/>
    <xf numFmtId="164" fontId="3" fillId="0" borderId="0" xfId="2" applyFont="1" applyFill="1"/>
    <xf numFmtId="164" fontId="3" fillId="0" borderId="0" xfId="2" applyFont="1" applyFill="1" applyBorder="1" applyAlignment="1">
      <alignment horizontal="center" vertical="center"/>
    </xf>
    <xf numFmtId="164" fontId="3" fillId="0" borderId="0" xfId="2" applyFont="1" applyAlignment="1">
      <alignment horizontal="center" vertical="center"/>
    </xf>
    <xf numFmtId="164" fontId="3" fillId="0" borderId="0" xfId="2" applyFont="1" applyFill="1" applyBorder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Fill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4" borderId="0" xfId="2" applyFont="1" applyFill="1"/>
    <xf numFmtId="164" fontId="3" fillId="4" borderId="0" xfId="2" applyFont="1" applyFill="1" applyBorder="1"/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164" fontId="3" fillId="2" borderId="0" xfId="2" applyFont="1" applyFill="1"/>
    <xf numFmtId="164" fontId="3" fillId="2" borderId="0" xfId="2" applyFont="1" applyFill="1" applyBorder="1" applyAlignment="1">
      <alignment horizontal="center" vertical="center"/>
    </xf>
    <xf numFmtId="164" fontId="3" fillId="2" borderId="0" xfId="2" applyFont="1" applyFill="1" applyBorder="1"/>
    <xf numFmtId="164" fontId="6" fillId="2" borderId="0" xfId="2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4" borderId="0" xfId="0" applyFont="1" applyFill="1"/>
    <xf numFmtId="4" fontId="3" fillId="4" borderId="0" xfId="0" applyNumberFormat="1" applyFont="1" applyFill="1"/>
    <xf numFmtId="164" fontId="3" fillId="5" borderId="0" xfId="2" applyFont="1" applyFill="1"/>
    <xf numFmtId="4" fontId="3" fillId="0" borderId="0" xfId="0" applyNumberFormat="1" applyFont="1" applyFill="1"/>
    <xf numFmtId="4" fontId="3" fillId="0" borderId="0" xfId="2" applyNumberFormat="1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0" borderId="0" xfId="2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164" fontId="3" fillId="6" borderId="0" xfId="2" applyFont="1" applyFill="1"/>
    <xf numFmtId="4" fontId="3" fillId="5" borderId="0" xfId="0" applyNumberFormat="1" applyFont="1" applyFill="1"/>
    <xf numFmtId="4" fontId="3" fillId="6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7" borderId="0" xfId="2" applyFont="1" applyFill="1"/>
    <xf numFmtId="0" fontId="4" fillId="0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1" xfId="2" applyFont="1" applyFill="1" applyBorder="1" applyAlignment="1">
      <alignment horizontal="center" vertical="center"/>
    </xf>
    <xf numFmtId="0" fontId="4" fillId="2" borderId="1" xfId="0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 shrinkToFit="1"/>
    </xf>
    <xf numFmtId="0" fontId="16" fillId="2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64" fontId="6" fillId="2" borderId="1" xfId="2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left" vertical="top" wrapText="1"/>
    </xf>
    <xf numFmtId="0" fontId="7" fillId="2" borderId="2" xfId="0" quotePrefix="1" applyNumberFormat="1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7" fillId="2" borderId="1" xfId="0" applyNumberFormat="1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center" vertical="center"/>
    </xf>
    <xf numFmtId="0" fontId="7" fillId="2" borderId="1" xfId="0" quotePrefix="1" applyNumberFormat="1" applyFont="1" applyFill="1" applyBorder="1" applyAlignment="1">
      <alignment horizontal="justify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4" fillId="2" borderId="2" xfId="0" quotePrefix="1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2" fontId="6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2" fontId="4" fillId="2" borderId="0" xfId="0" applyNumberFormat="1" applyFont="1" applyFill="1" applyAlignment="1">
      <alignment wrapText="1"/>
    </xf>
    <xf numFmtId="2" fontId="20" fillId="2" borderId="0" xfId="0" applyNumberFormat="1" applyFont="1" applyFill="1" applyAlignment="1">
      <alignment wrapText="1"/>
    </xf>
    <xf numFmtId="0" fontId="12" fillId="0" borderId="1" xfId="0" quotePrefix="1" applyNumberFormat="1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4" fontId="3" fillId="0" borderId="3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164" fontId="14" fillId="0" borderId="3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3" xfId="0" quotePrefix="1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8"/>
  <sheetViews>
    <sheetView topLeftCell="A46" zoomScaleNormal="100" workbookViewId="0">
      <selection activeCell="G16" sqref="G16"/>
    </sheetView>
  </sheetViews>
  <sheetFormatPr defaultColWidth="34" defaultRowHeight="15.75"/>
  <cols>
    <col min="1" max="1" width="8.140625" style="13" customWidth="1"/>
    <col min="2" max="2" width="58" style="9" customWidth="1"/>
    <col min="3" max="3" width="11.28515625" style="13" customWidth="1"/>
    <col min="4" max="4" width="17.140625" style="13" customWidth="1"/>
    <col min="5" max="5" width="17.28515625" style="13" customWidth="1"/>
    <col min="6" max="6" width="19.140625" style="13" customWidth="1"/>
    <col min="7" max="16384" width="34" style="13"/>
  </cols>
  <sheetData>
    <row r="1" spans="1:6">
      <c r="E1" s="17" t="s">
        <v>447</v>
      </c>
      <c r="F1" s="18"/>
    </row>
    <row r="2" spans="1:6">
      <c r="E2" s="19" t="s">
        <v>152</v>
      </c>
      <c r="F2" s="18"/>
    </row>
    <row r="3" spans="1:6">
      <c r="E3" s="19" t="s">
        <v>246</v>
      </c>
      <c r="F3" s="18"/>
    </row>
    <row r="4" spans="1:6">
      <c r="E4" s="19" t="s">
        <v>448</v>
      </c>
      <c r="F4" s="18"/>
    </row>
    <row r="5" spans="1:6">
      <c r="E5" s="19"/>
      <c r="F5" s="18"/>
    </row>
    <row r="6" spans="1:6">
      <c r="E6" s="17" t="s">
        <v>447</v>
      </c>
      <c r="F6" s="18"/>
    </row>
    <row r="7" spans="1:6">
      <c r="E7" s="19" t="s">
        <v>152</v>
      </c>
      <c r="F7" s="18"/>
    </row>
    <row r="8" spans="1:6">
      <c r="E8" s="19" t="s">
        <v>246</v>
      </c>
      <c r="F8" s="18"/>
    </row>
    <row r="9" spans="1:6">
      <c r="E9" s="19" t="s">
        <v>609</v>
      </c>
      <c r="F9" s="18"/>
    </row>
    <row r="10" spans="1:6">
      <c r="E10" s="19"/>
      <c r="F10" s="18"/>
    </row>
    <row r="11" spans="1:6" ht="60.75" customHeight="1">
      <c r="A11" s="337" t="s">
        <v>517</v>
      </c>
      <c r="B11" s="337"/>
      <c r="C11" s="337"/>
      <c r="D11" s="337"/>
      <c r="E11" s="337"/>
      <c r="F11" s="337"/>
    </row>
    <row r="12" spans="1:6">
      <c r="A12" s="7"/>
      <c r="B12" s="10"/>
      <c r="C12" s="8"/>
      <c r="D12" s="8"/>
      <c r="E12" s="8"/>
    </row>
    <row r="13" spans="1:6">
      <c r="A13" s="2"/>
      <c r="B13" s="11"/>
      <c r="C13" s="3"/>
      <c r="D13" s="4"/>
      <c r="F13" s="4" t="s">
        <v>520</v>
      </c>
    </row>
    <row r="14" spans="1:6" ht="31.5">
      <c r="A14" s="5" t="s">
        <v>0</v>
      </c>
      <c r="B14" s="12" t="s">
        <v>84</v>
      </c>
      <c r="C14" s="6" t="s">
        <v>3</v>
      </c>
      <c r="D14" s="1" t="s">
        <v>518</v>
      </c>
      <c r="E14" s="1" t="s">
        <v>475</v>
      </c>
      <c r="F14" s="1" t="s">
        <v>519</v>
      </c>
    </row>
    <row r="15" spans="1:6">
      <c r="A15" s="97"/>
      <c r="B15" s="5" t="s">
        <v>6</v>
      </c>
      <c r="C15" s="98" t="s">
        <v>7</v>
      </c>
      <c r="D15" s="98" t="s">
        <v>9</v>
      </c>
      <c r="E15" s="98" t="s">
        <v>10</v>
      </c>
      <c r="F15" s="158"/>
    </row>
    <row r="16" spans="1:6" ht="24.75" customHeight="1">
      <c r="A16" s="99">
        <v>1</v>
      </c>
      <c r="B16" s="100" t="s">
        <v>85</v>
      </c>
      <c r="C16" s="101" t="s">
        <v>86</v>
      </c>
      <c r="D16" s="102">
        <f t="shared" ref="D16:E16" si="0">D17+D18+D19+D21+D22+D23+D20</f>
        <v>185872864.09999996</v>
      </c>
      <c r="E16" s="102">
        <f t="shared" si="0"/>
        <v>168933513.11000001</v>
      </c>
      <c r="F16" s="102">
        <f t="shared" ref="F16" si="1">F17+F18+F19+F21+F22+F23+F20</f>
        <v>168539286.11000001</v>
      </c>
    </row>
    <row r="17" spans="1:6" ht="36" customHeight="1">
      <c r="A17" s="99">
        <v>2</v>
      </c>
      <c r="B17" s="103" t="s">
        <v>87</v>
      </c>
      <c r="C17" s="104" t="s">
        <v>88</v>
      </c>
      <c r="D17" s="105">
        <f>'приложение 4'!G124</f>
        <v>2527476.98</v>
      </c>
      <c r="E17" s="105">
        <f>'приложение 4'!H124</f>
        <v>2464199.7799999998</v>
      </c>
      <c r="F17" s="105">
        <f>'приложение 4'!I124</f>
        <v>2464199.7799999998</v>
      </c>
    </row>
    <row r="18" spans="1:6" ht="53.25" customHeight="1">
      <c r="A18" s="99">
        <v>3</v>
      </c>
      <c r="B18" s="103" t="s">
        <v>89</v>
      </c>
      <c r="C18" s="104" t="s">
        <v>90</v>
      </c>
      <c r="D18" s="105">
        <f>'приложение 4'!G701</f>
        <v>8346127.9499999993</v>
      </c>
      <c r="E18" s="105">
        <f>'приложение 4'!H701</f>
        <v>8029741.9500000002</v>
      </c>
      <c r="F18" s="105">
        <f>'приложение 4'!I701</f>
        <v>8029741.9500000002</v>
      </c>
    </row>
    <row r="19" spans="1:6" ht="63">
      <c r="A19" s="99">
        <v>4</v>
      </c>
      <c r="B19" s="103" t="s">
        <v>17</v>
      </c>
      <c r="C19" s="104" t="s">
        <v>91</v>
      </c>
      <c r="D19" s="105">
        <f>'приложение 4'!G130</f>
        <v>42825942.369999997</v>
      </c>
      <c r="E19" s="105">
        <f>'приложение 4'!H130</f>
        <v>40547964.570000008</v>
      </c>
      <c r="F19" s="105">
        <f>'приложение 4'!I130</f>
        <v>40547964.570000008</v>
      </c>
    </row>
    <row r="20" spans="1:6">
      <c r="A20" s="99">
        <v>5</v>
      </c>
      <c r="B20" s="106" t="s">
        <v>157</v>
      </c>
      <c r="C20" s="104" t="s">
        <v>160</v>
      </c>
      <c r="D20" s="105">
        <f>'приложение 4'!G148</f>
        <v>6000</v>
      </c>
      <c r="E20" s="105">
        <f>'приложение 4'!H148</f>
        <v>6200</v>
      </c>
      <c r="F20" s="105">
        <f>'приложение 4'!I148</f>
        <v>53900</v>
      </c>
    </row>
    <row r="21" spans="1:6" ht="47.25">
      <c r="A21" s="99">
        <v>6</v>
      </c>
      <c r="B21" s="103" t="s">
        <v>12</v>
      </c>
      <c r="C21" s="104" t="s">
        <v>92</v>
      </c>
      <c r="D21" s="105">
        <f>'приложение 4'!G19+'приложение 4'!G683</f>
        <v>24786869.399999999</v>
      </c>
      <c r="E21" s="105">
        <f>'приложение 4'!H19+'приложение 4'!H684</f>
        <v>23331493.399999999</v>
      </c>
      <c r="F21" s="105">
        <f>'приложение 4'!I19+'приложение 4'!I684</f>
        <v>22903282.399999999</v>
      </c>
    </row>
    <row r="22" spans="1:6">
      <c r="A22" s="99">
        <v>7</v>
      </c>
      <c r="B22" s="103" t="s">
        <v>31</v>
      </c>
      <c r="C22" s="104" t="s">
        <v>93</v>
      </c>
      <c r="D22" s="105">
        <f>'приложение 4'!G154</f>
        <v>4380000</v>
      </c>
      <c r="E22" s="105">
        <f>'приложение 4'!H154</f>
        <v>150000</v>
      </c>
      <c r="F22" s="105">
        <f>'приложение 4'!I154</f>
        <v>150000</v>
      </c>
    </row>
    <row r="23" spans="1:6">
      <c r="A23" s="99">
        <v>8</v>
      </c>
      <c r="B23" s="103" t="s">
        <v>35</v>
      </c>
      <c r="C23" s="104" t="s">
        <v>94</v>
      </c>
      <c r="D23" s="105">
        <f>'приложение 4'!G155+'приложение 4'!G379+'приложение 4'!G396+'приложение 4'!G413+'приложение 4'!G33</f>
        <v>103000447.39999999</v>
      </c>
      <c r="E23" s="105">
        <f>'приложение 4'!H155+'приложение 4'!H379+'приложение 4'!H396+'приложение 4'!H413+'приложение 4'!H33</f>
        <v>94403913.409999996</v>
      </c>
      <c r="F23" s="105">
        <f>'приложение 4'!I155+'приложение 4'!I379+'приложение 4'!I396+'приложение 4'!I413+'приложение 4'!I33</f>
        <v>94390197.409999996</v>
      </c>
    </row>
    <row r="24" spans="1:6" ht="29.25" customHeight="1">
      <c r="A24" s="99">
        <v>9</v>
      </c>
      <c r="B24" s="100" t="s">
        <v>95</v>
      </c>
      <c r="C24" s="101" t="s">
        <v>96</v>
      </c>
      <c r="D24" s="108">
        <f t="shared" ref="D24:F24" si="2">D25</f>
        <v>2955800</v>
      </c>
      <c r="E24" s="108">
        <f t="shared" si="2"/>
        <v>3294200</v>
      </c>
      <c r="F24" s="108">
        <f t="shared" si="2"/>
        <v>3638300</v>
      </c>
    </row>
    <row r="25" spans="1:6">
      <c r="A25" s="99">
        <v>10</v>
      </c>
      <c r="B25" s="103" t="s">
        <v>22</v>
      </c>
      <c r="C25" s="104" t="s">
        <v>97</v>
      </c>
      <c r="D25" s="105">
        <f>'приложение 4'!G40</f>
        <v>2955800</v>
      </c>
      <c r="E25" s="105">
        <f>'приложение 4'!H40</f>
        <v>3294200</v>
      </c>
      <c r="F25" s="105">
        <f>'приложение 4'!I40</f>
        <v>3638300</v>
      </c>
    </row>
    <row r="26" spans="1:6" ht="35.25" customHeight="1">
      <c r="A26" s="99">
        <v>11</v>
      </c>
      <c r="B26" s="109" t="s">
        <v>98</v>
      </c>
      <c r="C26" s="101" t="s">
        <v>99</v>
      </c>
      <c r="D26" s="110">
        <f t="shared" ref="D26:F26" si="3">D27</f>
        <v>10565530.16</v>
      </c>
      <c r="E26" s="110">
        <f t="shared" si="3"/>
        <v>8967481.1600000001</v>
      </c>
      <c r="F26" s="110">
        <f t="shared" si="3"/>
        <v>8922481.1600000001</v>
      </c>
    </row>
    <row r="27" spans="1:6" ht="47.25">
      <c r="A27" s="99">
        <v>12</v>
      </c>
      <c r="B27" s="66" t="s">
        <v>74</v>
      </c>
      <c r="C27" s="130" t="s">
        <v>379</v>
      </c>
      <c r="D27" s="105">
        <f>'приложение 4'!G364+'приложение 4'!G192+'приложение 4'!G47</f>
        <v>10565530.16</v>
      </c>
      <c r="E27" s="105">
        <f>'приложение 4'!H364+'приложение 4'!H192+'приложение 4'!H47</f>
        <v>8967481.1600000001</v>
      </c>
      <c r="F27" s="105">
        <f>'приложение 4'!I364+'приложение 4'!I192+'приложение 4'!I47</f>
        <v>8922481.1600000001</v>
      </c>
    </row>
    <row r="28" spans="1:6" ht="33.75" customHeight="1">
      <c r="A28" s="99">
        <v>13</v>
      </c>
      <c r="B28" s="100" t="s">
        <v>100</v>
      </c>
      <c r="C28" s="101" t="s">
        <v>101</v>
      </c>
      <c r="D28" s="111">
        <f t="shared" ref="D28:E28" si="4">D29+D30+D31+D32+D34+D33</f>
        <v>60736478.950000003</v>
      </c>
      <c r="E28" s="111">
        <f t="shared" si="4"/>
        <v>58311852.159999996</v>
      </c>
      <c r="F28" s="111">
        <f t="shared" ref="F28" si="5">F29+F30+F31+F32+F34+F33</f>
        <v>58322352.159999996</v>
      </c>
    </row>
    <row r="29" spans="1:6">
      <c r="A29" s="99">
        <v>14</v>
      </c>
      <c r="B29" s="103" t="s">
        <v>102</v>
      </c>
      <c r="C29" s="104" t="s">
        <v>103</v>
      </c>
      <c r="D29" s="105">
        <f>'приложение 4'!G54+'приложение 4'!G212</f>
        <v>446900</v>
      </c>
      <c r="E29" s="105">
        <f>'приложение 4'!H54+'приложение 4'!H212</f>
        <v>230000</v>
      </c>
      <c r="F29" s="105">
        <f>'приложение 4'!I54+'приложение 4'!I212</f>
        <v>230000</v>
      </c>
    </row>
    <row r="30" spans="1:6">
      <c r="A30" s="99">
        <v>15</v>
      </c>
      <c r="B30" s="103" t="s">
        <v>41</v>
      </c>
      <c r="C30" s="104" t="s">
        <v>104</v>
      </c>
      <c r="D30" s="105">
        <f>'приложение 4'!G220</f>
        <v>1147100</v>
      </c>
      <c r="E30" s="105">
        <f>'приложение 4'!H221</f>
        <v>1062700</v>
      </c>
      <c r="F30" s="105">
        <f>'приложение 4'!I221</f>
        <v>1062700</v>
      </c>
    </row>
    <row r="31" spans="1:6">
      <c r="A31" s="99">
        <v>16</v>
      </c>
      <c r="B31" s="103" t="s">
        <v>40</v>
      </c>
      <c r="C31" s="104" t="s">
        <v>105</v>
      </c>
      <c r="D31" s="105">
        <f>'приложение 4'!G228</f>
        <v>31124225.43</v>
      </c>
      <c r="E31" s="105">
        <f>'приложение 4'!H229</f>
        <v>31124225.43</v>
      </c>
      <c r="F31" s="105">
        <f>'приложение 4'!I229</f>
        <v>31124225.43</v>
      </c>
    </row>
    <row r="32" spans="1:6">
      <c r="A32" s="99">
        <v>17</v>
      </c>
      <c r="B32" s="103" t="s">
        <v>106</v>
      </c>
      <c r="C32" s="104" t="s">
        <v>107</v>
      </c>
      <c r="D32" s="105">
        <f>'приложение 4'!G60+'приложение 4'!G241</f>
        <v>25288203.520000003</v>
      </c>
      <c r="E32" s="105">
        <f>'приложение 4'!H60+'приложение 4'!H242</f>
        <v>25096126.73</v>
      </c>
      <c r="F32" s="105">
        <f>'приложение 4'!I60+'приложение 4'!I242</f>
        <v>25106626.73</v>
      </c>
    </row>
    <row r="33" spans="1:6">
      <c r="A33" s="99">
        <v>18</v>
      </c>
      <c r="B33" s="106" t="s">
        <v>268</v>
      </c>
      <c r="C33" s="104" t="s">
        <v>269</v>
      </c>
      <c r="D33" s="105">
        <v>0</v>
      </c>
      <c r="E33" s="105">
        <v>0</v>
      </c>
      <c r="F33" s="105">
        <v>0</v>
      </c>
    </row>
    <row r="34" spans="1:6">
      <c r="A34" s="99">
        <v>19</v>
      </c>
      <c r="B34" s="103" t="s">
        <v>47</v>
      </c>
      <c r="C34" s="104" t="s">
        <v>108</v>
      </c>
      <c r="D34" s="105">
        <f>'приложение 4'!G247</f>
        <v>2730050</v>
      </c>
      <c r="E34" s="105">
        <f>'приложение 4'!H248</f>
        <v>798800</v>
      </c>
      <c r="F34" s="105">
        <f>'приложение 4'!I248</f>
        <v>798800</v>
      </c>
    </row>
    <row r="35" spans="1:6" ht="34.5" customHeight="1">
      <c r="A35" s="99">
        <v>20</v>
      </c>
      <c r="B35" s="100" t="s">
        <v>109</v>
      </c>
      <c r="C35" s="101" t="s">
        <v>110</v>
      </c>
      <c r="D35" s="108">
        <f t="shared" ref="D35:F35" si="6">D37+D36+D39+D38</f>
        <v>73918120</v>
      </c>
      <c r="E35" s="108">
        <f t="shared" si="6"/>
        <v>72850300</v>
      </c>
      <c r="F35" s="108">
        <f t="shared" si="6"/>
        <v>72850300</v>
      </c>
    </row>
    <row r="36" spans="1:6" ht="34.5" customHeight="1">
      <c r="A36" s="99">
        <v>21</v>
      </c>
      <c r="B36" s="106" t="s">
        <v>371</v>
      </c>
      <c r="C36" s="107" t="s">
        <v>372</v>
      </c>
      <c r="D36" s="105">
        <f>'приложение 4'!G265</f>
        <v>190300</v>
      </c>
      <c r="E36" s="105">
        <f>'приложение 4'!H265</f>
        <v>190300</v>
      </c>
      <c r="F36" s="105">
        <f>'приложение 4'!I265</f>
        <v>190300</v>
      </c>
    </row>
    <row r="37" spans="1:6">
      <c r="A37" s="99">
        <v>22</v>
      </c>
      <c r="B37" s="103" t="s">
        <v>111</v>
      </c>
      <c r="C37" s="104" t="s">
        <v>112</v>
      </c>
      <c r="D37" s="105">
        <f>'приложение 4'!G273+'приложение 4'!G68</f>
        <v>73727820</v>
      </c>
      <c r="E37" s="105">
        <f>'приложение 4'!H274</f>
        <v>72660000</v>
      </c>
      <c r="F37" s="105">
        <f>'приложение 4'!I274</f>
        <v>72660000</v>
      </c>
    </row>
    <row r="38" spans="1:6">
      <c r="A38" s="99">
        <v>23</v>
      </c>
      <c r="B38" s="106" t="s">
        <v>445</v>
      </c>
      <c r="C38" s="104" t="s">
        <v>446</v>
      </c>
      <c r="D38" s="105"/>
      <c r="E38" s="105">
        <v>0</v>
      </c>
      <c r="F38" s="105">
        <v>0</v>
      </c>
    </row>
    <row r="39" spans="1:6" ht="31.5">
      <c r="A39" s="99">
        <v>24</v>
      </c>
      <c r="B39" s="106" t="s">
        <v>402</v>
      </c>
      <c r="C39" s="107" t="s">
        <v>403</v>
      </c>
      <c r="D39" s="105">
        <v>0</v>
      </c>
      <c r="E39" s="105">
        <v>0</v>
      </c>
      <c r="F39" s="105">
        <v>0</v>
      </c>
    </row>
    <row r="40" spans="1:6">
      <c r="A40" s="99">
        <v>25</v>
      </c>
      <c r="B40" s="57" t="s">
        <v>416</v>
      </c>
      <c r="C40" s="112" t="s">
        <v>414</v>
      </c>
      <c r="D40" s="113">
        <f t="shared" ref="D40:E40" si="7">D41+D42</f>
        <v>8096800</v>
      </c>
      <c r="E40" s="113">
        <f t="shared" si="7"/>
        <v>5479500</v>
      </c>
      <c r="F40" s="113">
        <f t="shared" ref="F40" si="8">F41+F42</f>
        <v>5479500</v>
      </c>
    </row>
    <row r="41" spans="1:6" ht="30">
      <c r="A41" s="99">
        <v>26</v>
      </c>
      <c r="B41" s="178" t="s">
        <v>417</v>
      </c>
      <c r="C41" s="107" t="s">
        <v>415</v>
      </c>
      <c r="D41" s="105">
        <f>'приложение 4'!G283</f>
        <v>596800</v>
      </c>
      <c r="E41" s="105">
        <f>'приложение 4'!H284</f>
        <v>479500</v>
      </c>
      <c r="F41" s="105">
        <f>'приложение 4'!I284</f>
        <v>479500</v>
      </c>
    </row>
    <row r="42" spans="1:6">
      <c r="A42" s="99">
        <v>27</v>
      </c>
      <c r="B42" s="129" t="s">
        <v>420</v>
      </c>
      <c r="C42" s="107" t="s">
        <v>421</v>
      </c>
      <c r="D42" s="105">
        <f>'приложение 4'!G291+'приложение 4'!G74</f>
        <v>7500000</v>
      </c>
      <c r="E42" s="105">
        <f>'приложение 4'!H291+'приложение 4'!H74</f>
        <v>5000000</v>
      </c>
      <c r="F42" s="105">
        <f>'приложение 4'!I291+'приложение 4'!I74</f>
        <v>5000000</v>
      </c>
    </row>
    <row r="43" spans="1:6" ht="31.5" customHeight="1">
      <c r="A43" s="99">
        <v>28</v>
      </c>
      <c r="B43" s="100" t="s">
        <v>113</v>
      </c>
      <c r="C43" s="101" t="s">
        <v>114</v>
      </c>
      <c r="D43" s="108">
        <f t="shared" ref="D43:E43" si="9">D44+D45+D47+D48+D46</f>
        <v>840177954.07000005</v>
      </c>
      <c r="E43" s="108">
        <f t="shared" si="9"/>
        <v>750001000.21000004</v>
      </c>
      <c r="F43" s="108">
        <f t="shared" ref="F43" si="10">F44+F45+F47+F48+F46</f>
        <v>750518705.1500001</v>
      </c>
    </row>
    <row r="44" spans="1:6">
      <c r="A44" s="99">
        <v>29</v>
      </c>
      <c r="B44" s="103" t="s">
        <v>115</v>
      </c>
      <c r="C44" s="104" t="s">
        <v>116</v>
      </c>
      <c r="D44" s="105">
        <f>'приложение 4'!G433</f>
        <v>233627052.20000002</v>
      </c>
      <c r="E44" s="105">
        <f>'приложение 4'!H434</f>
        <v>209000895</v>
      </c>
      <c r="F44" s="105">
        <f>'приложение 4'!I434</f>
        <v>209000895</v>
      </c>
    </row>
    <row r="45" spans="1:6">
      <c r="A45" s="99">
        <v>30</v>
      </c>
      <c r="B45" s="103" t="s">
        <v>65</v>
      </c>
      <c r="C45" s="104" t="s">
        <v>117</v>
      </c>
      <c r="D45" s="105">
        <f>'приложение 4'!G465</f>
        <v>478160856.66000003</v>
      </c>
      <c r="E45" s="105">
        <f>'приложение 4'!H466</f>
        <v>426332123.77999997</v>
      </c>
      <c r="F45" s="105">
        <f>'приложение 4'!I466</f>
        <v>426849828.72000003</v>
      </c>
    </row>
    <row r="46" spans="1:6">
      <c r="A46" s="99">
        <v>31</v>
      </c>
      <c r="B46" s="106" t="s">
        <v>161</v>
      </c>
      <c r="C46" s="104" t="s">
        <v>167</v>
      </c>
      <c r="D46" s="105">
        <f>'приложение 4'!G521+'приложение 4'!G588</f>
        <v>86457741.00999999</v>
      </c>
      <c r="E46" s="105">
        <f>'приложение 4'!H522+'приложение 4'!H589</f>
        <v>76179908.230000004</v>
      </c>
      <c r="F46" s="105">
        <f>'приложение 4'!I522+'приложение 4'!I589</f>
        <v>76179908.230000004</v>
      </c>
    </row>
    <row r="47" spans="1:6">
      <c r="A47" s="99">
        <v>32</v>
      </c>
      <c r="B47" s="103" t="s">
        <v>162</v>
      </c>
      <c r="C47" s="104" t="s">
        <v>118</v>
      </c>
      <c r="D47" s="105">
        <f>'приложение 4'!G597+'приложение 4'!G81</f>
        <v>10089409.199999999</v>
      </c>
      <c r="E47" s="105">
        <f>'приложение 4'!H597+'приложение 4'!H81</f>
        <v>8118577.2000000002</v>
      </c>
      <c r="F47" s="105">
        <f>'приложение 4'!I597+'приложение 4'!I81</f>
        <v>8118577.2000000002</v>
      </c>
    </row>
    <row r="48" spans="1:6">
      <c r="A48" s="99">
        <v>33</v>
      </c>
      <c r="B48" s="103" t="s">
        <v>53</v>
      </c>
      <c r="C48" s="104" t="s">
        <v>119</v>
      </c>
      <c r="D48" s="105">
        <f>'приложение 4'!G547+'приложение 4'!G305</f>
        <v>31842895</v>
      </c>
      <c r="E48" s="105">
        <f>'приложение 4'!H548+'приложение 4'!H306</f>
        <v>30369496</v>
      </c>
      <c r="F48" s="105">
        <f>'приложение 4'!I548+'приложение 4'!I306</f>
        <v>30369496</v>
      </c>
    </row>
    <row r="49" spans="1:6" ht="32.25" customHeight="1">
      <c r="A49" s="99">
        <v>34</v>
      </c>
      <c r="B49" s="100" t="s">
        <v>120</v>
      </c>
      <c r="C49" s="101" t="s">
        <v>121</v>
      </c>
      <c r="D49" s="108">
        <f t="shared" ref="D49:E49" si="11">D50+D51</f>
        <v>89521376.479999989</v>
      </c>
      <c r="E49" s="108">
        <f t="shared" si="11"/>
        <v>83981969.479999989</v>
      </c>
      <c r="F49" s="108">
        <f t="shared" ref="F49" si="12">F50+F51</f>
        <v>60274159.170000002</v>
      </c>
    </row>
    <row r="50" spans="1:6">
      <c r="A50" s="99">
        <v>35</v>
      </c>
      <c r="B50" s="103" t="s">
        <v>68</v>
      </c>
      <c r="C50" s="104" t="s">
        <v>122</v>
      </c>
      <c r="D50" s="105">
        <f>'приложение 4'!G618</f>
        <v>84710988.239999995</v>
      </c>
      <c r="E50" s="105">
        <f>'приложение 4'!H618</f>
        <v>79521639.239999995</v>
      </c>
      <c r="F50" s="105">
        <f>'приложение 4'!I618</f>
        <v>55813828.93</v>
      </c>
    </row>
    <row r="51" spans="1:6">
      <c r="A51" s="99">
        <v>36</v>
      </c>
      <c r="B51" s="103" t="s">
        <v>73</v>
      </c>
      <c r="C51" s="104" t="s">
        <v>123</v>
      </c>
      <c r="D51" s="105">
        <f>'приложение 4'!G656</f>
        <v>4810388.24</v>
      </c>
      <c r="E51" s="105">
        <f>'приложение 4'!H656</f>
        <v>4460330.24</v>
      </c>
      <c r="F51" s="105">
        <f>'приложение 4'!I656</f>
        <v>4460330.24</v>
      </c>
    </row>
    <row r="52" spans="1:6" ht="31.5" customHeight="1">
      <c r="A52" s="99">
        <v>37</v>
      </c>
      <c r="B52" s="100" t="s">
        <v>124</v>
      </c>
      <c r="C52" s="101" t="s">
        <v>125</v>
      </c>
      <c r="D52" s="108">
        <f t="shared" ref="D52:E52" si="13">D53+D54+D56+D55</f>
        <v>30209140.920000002</v>
      </c>
      <c r="E52" s="108">
        <f t="shared" si="13"/>
        <v>30380672.5</v>
      </c>
      <c r="F52" s="108">
        <f t="shared" ref="F52" si="14">F53+F54+F56+F55</f>
        <v>30048522.000000004</v>
      </c>
    </row>
    <row r="53" spans="1:6">
      <c r="A53" s="99">
        <v>38</v>
      </c>
      <c r="B53" s="103" t="s">
        <v>76</v>
      </c>
      <c r="C53" s="104" t="s">
        <v>126</v>
      </c>
      <c r="D53" s="105">
        <f>'приложение 4'!G317</f>
        <v>1300000</v>
      </c>
      <c r="E53" s="105">
        <f>'приложение 4'!H318</f>
        <v>1300000</v>
      </c>
      <c r="F53" s="105">
        <f>'приложение 4'!I318</f>
        <v>1300000</v>
      </c>
    </row>
    <row r="54" spans="1:6">
      <c r="A54" s="99">
        <v>39</v>
      </c>
      <c r="B54" s="103" t="s">
        <v>78</v>
      </c>
      <c r="C54" s="104" t="s">
        <v>127</v>
      </c>
      <c r="D54" s="105">
        <f>'приложение 4'!G559+'приложение 4'!G320</f>
        <v>21068440.920000002</v>
      </c>
      <c r="E54" s="105">
        <f>'приложение 4'!H559+'приложение 4'!H320</f>
        <v>21350872.500000004</v>
      </c>
      <c r="F54" s="105">
        <f>'приложение 4'!I559+'приложение 4'!I320</f>
        <v>21174822.000000004</v>
      </c>
    </row>
    <row r="55" spans="1:6">
      <c r="A55" s="99">
        <v>40</v>
      </c>
      <c r="B55" s="106" t="s">
        <v>58</v>
      </c>
      <c r="C55" s="104">
        <v>1004</v>
      </c>
      <c r="D55" s="105">
        <f>'приложение 4'!G578+'приложение 4'!G326</f>
        <v>5869265.4500000002</v>
      </c>
      <c r="E55" s="105">
        <f>'приложение 4'!H578+'приложение 4'!H326</f>
        <v>5856779.3300000001</v>
      </c>
      <c r="F55" s="105">
        <f>'приложение 4'!I578+'приложение 4'!I326</f>
        <v>5700699.3599999994</v>
      </c>
    </row>
    <row r="56" spans="1:6">
      <c r="A56" s="99">
        <v>41</v>
      </c>
      <c r="B56" s="103" t="s">
        <v>79</v>
      </c>
      <c r="C56" s="104" t="s">
        <v>128</v>
      </c>
      <c r="D56" s="114">
        <f>'приложение 4'!G332</f>
        <v>1971434.55</v>
      </c>
      <c r="E56" s="114">
        <f>'приложение 4'!H332</f>
        <v>1873020.67</v>
      </c>
      <c r="F56" s="114">
        <f>'приложение 4'!I332</f>
        <v>1873000.64</v>
      </c>
    </row>
    <row r="57" spans="1:6">
      <c r="A57" s="99">
        <v>42</v>
      </c>
      <c r="B57" s="115" t="s">
        <v>253</v>
      </c>
      <c r="C57" s="116">
        <v>1100</v>
      </c>
      <c r="D57" s="117">
        <f>D58+D59</f>
        <v>169800</v>
      </c>
      <c r="E57" s="117">
        <f t="shared" ref="E57:F57" si="15">E58+E59</f>
        <v>120000</v>
      </c>
      <c r="F57" s="117">
        <f t="shared" si="15"/>
        <v>120000</v>
      </c>
    </row>
    <row r="58" spans="1:6">
      <c r="A58" s="99">
        <v>43</v>
      </c>
      <c r="B58" s="106" t="s">
        <v>249</v>
      </c>
      <c r="C58" s="104">
        <v>1101</v>
      </c>
      <c r="D58" s="114">
        <f>'приложение 4'!G671</f>
        <v>120000</v>
      </c>
      <c r="E58" s="114">
        <f>'приложение 4'!H671</f>
        <v>120000</v>
      </c>
      <c r="F58" s="114">
        <f>'приложение 4'!I671</f>
        <v>120000</v>
      </c>
    </row>
    <row r="59" spans="1:6">
      <c r="A59" s="99">
        <v>44</v>
      </c>
      <c r="B59" s="106" t="s">
        <v>466</v>
      </c>
      <c r="C59" s="104">
        <v>1102</v>
      </c>
      <c r="D59" s="114">
        <f>'приложение 4'!G88</f>
        <v>49800</v>
      </c>
      <c r="E59" s="114">
        <f>'приложение 4'!H88</f>
        <v>0</v>
      </c>
      <c r="F59" s="114">
        <f>'приложение 4'!I88</f>
        <v>0</v>
      </c>
    </row>
    <row r="60" spans="1:6" ht="31.5">
      <c r="A60" s="99">
        <v>45</v>
      </c>
      <c r="B60" s="115" t="s">
        <v>411</v>
      </c>
      <c r="C60" s="116">
        <v>1300</v>
      </c>
      <c r="D60" s="117">
        <f t="shared" ref="D60:F60" si="16">D61</f>
        <v>200000</v>
      </c>
      <c r="E60" s="117">
        <f t="shared" si="16"/>
        <v>200000</v>
      </c>
      <c r="F60" s="117">
        <f t="shared" si="16"/>
        <v>200000</v>
      </c>
    </row>
    <row r="61" spans="1:6">
      <c r="A61" s="99">
        <v>46</v>
      </c>
      <c r="B61" s="106" t="s">
        <v>412</v>
      </c>
      <c r="C61" s="104">
        <v>1301</v>
      </c>
      <c r="D61" s="114">
        <f>'приложение 4'!G94</f>
        <v>200000</v>
      </c>
      <c r="E61" s="114">
        <f>'приложение 4'!H94</f>
        <v>200000</v>
      </c>
      <c r="F61" s="114">
        <f>'приложение 4'!I94</f>
        <v>200000</v>
      </c>
    </row>
    <row r="62" spans="1:6" ht="63">
      <c r="A62" s="99">
        <v>47</v>
      </c>
      <c r="B62" s="100" t="s">
        <v>163</v>
      </c>
      <c r="C62" s="101" t="s">
        <v>129</v>
      </c>
      <c r="D62" s="102">
        <f t="shared" ref="D62:E62" si="17">D63+D64</f>
        <v>156592477.02000001</v>
      </c>
      <c r="E62" s="102">
        <f t="shared" si="17"/>
        <v>139887890.00999999</v>
      </c>
      <c r="F62" s="102">
        <f t="shared" ref="F62" si="18">F63+F64</f>
        <v>139887890.00999999</v>
      </c>
    </row>
    <row r="63" spans="1:6">
      <c r="A63" s="99">
        <v>48</v>
      </c>
      <c r="B63" s="103" t="s">
        <v>164</v>
      </c>
      <c r="C63" s="104" t="s">
        <v>130</v>
      </c>
      <c r="D63" s="114">
        <f>'приложение 4'!G101</f>
        <v>34921997.68</v>
      </c>
      <c r="E63" s="114">
        <f>'приложение 4'!H101</f>
        <v>33446288.27</v>
      </c>
      <c r="F63" s="114">
        <f>'приложение 4'!I101</f>
        <v>33446288.27</v>
      </c>
    </row>
    <row r="64" spans="1:6">
      <c r="A64" s="99">
        <v>49</v>
      </c>
      <c r="B64" s="103" t="s">
        <v>29</v>
      </c>
      <c r="C64" s="104" t="s">
        <v>131</v>
      </c>
      <c r="D64" s="114">
        <f>'приложение 4'!G110</f>
        <v>121670479.34</v>
      </c>
      <c r="E64" s="114">
        <f>'приложение 4'!H110</f>
        <v>106441601.73999999</v>
      </c>
      <c r="F64" s="114">
        <f>'приложение 4'!I110</f>
        <v>106441601.73999999</v>
      </c>
    </row>
    <row r="65" spans="1:6">
      <c r="A65" s="99">
        <v>50</v>
      </c>
      <c r="B65" s="103" t="s">
        <v>132</v>
      </c>
      <c r="C65" s="104"/>
      <c r="D65" s="114">
        <f>'приложение 4'!G720</f>
        <v>0</v>
      </c>
      <c r="E65" s="114">
        <f>'приложение 4'!H720</f>
        <v>22582387</v>
      </c>
      <c r="F65" s="114">
        <f>'приложение 4'!I720</f>
        <v>43748000</v>
      </c>
    </row>
    <row r="66" spans="1:6" ht="30.75" customHeight="1">
      <c r="A66" s="336" t="s">
        <v>133</v>
      </c>
      <c r="B66" s="336"/>
      <c r="C66" s="101" t="s">
        <v>134</v>
      </c>
      <c r="D66" s="102">
        <f>D16+D24+D26+D28+D35+D43+D49+D52+D57+D62+D65+D60+D40</f>
        <v>1459016341.7</v>
      </c>
      <c r="E66" s="102">
        <f>E16+E24+E26+E28+E35+E43+E49+E52+E57+E62+E65+E60+E40</f>
        <v>1344990765.6300001</v>
      </c>
      <c r="F66" s="102">
        <f>F16+F24+F26+F28+F35+F43+F49+F52+F57+F62+F65+F60+F40</f>
        <v>1342549495.7600002</v>
      </c>
    </row>
    <row r="68" spans="1:6">
      <c r="D68" s="14">
        <f>D66-'приложение 4'!G721</f>
        <v>0</v>
      </c>
      <c r="E68" s="14">
        <f>E66-'приложение 4'!H721</f>
        <v>0</v>
      </c>
      <c r="F68" s="14">
        <f>F66-'приложение 4'!I721</f>
        <v>0</v>
      </c>
    </row>
  </sheetData>
  <mergeCells count="2">
    <mergeCell ref="A66:B66"/>
    <mergeCell ref="A11:F11"/>
  </mergeCells>
  <pageMargins left="0.31496062992125984" right="0.19685039370078741" top="0.74803149606299213" bottom="0.3149606299212598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729"/>
  <sheetViews>
    <sheetView view="pageBreakPreview" topLeftCell="A703" zoomScale="93" zoomScaleNormal="90" zoomScaleSheetLayoutView="93" workbookViewId="0">
      <selection activeCell="J718" sqref="J718"/>
    </sheetView>
  </sheetViews>
  <sheetFormatPr defaultRowHeight="15"/>
  <cols>
    <col min="1" max="1" width="5.5703125" style="54" customWidth="1"/>
    <col min="2" max="2" width="95.140625" style="15" customWidth="1"/>
    <col min="3" max="4" width="11.140625" style="16" customWidth="1"/>
    <col min="5" max="5" width="12.7109375" style="221" customWidth="1"/>
    <col min="6" max="6" width="9.140625" style="16" customWidth="1"/>
    <col min="7" max="7" width="20" style="18" customWidth="1"/>
    <col min="8" max="8" width="20.7109375" style="18" customWidth="1"/>
    <col min="9" max="9" width="20.5703125" style="54" customWidth="1"/>
    <col min="10" max="10" width="17" style="159" bestFit="1" customWidth="1"/>
    <col min="11" max="11" width="18.42578125" style="159" customWidth="1"/>
    <col min="12" max="12" width="17.5703125" style="159" customWidth="1"/>
    <col min="13" max="30" width="9.140625" style="54"/>
    <col min="31" max="16384" width="9.140625" style="13"/>
  </cols>
  <sheetData>
    <row r="1" spans="1:32">
      <c r="A1" s="160"/>
      <c r="H1" s="17" t="s">
        <v>456</v>
      </c>
      <c r="I1" s="18"/>
      <c r="J1" s="18"/>
    </row>
    <row r="2" spans="1:32">
      <c r="H2" s="19" t="s">
        <v>152</v>
      </c>
      <c r="I2" s="18"/>
      <c r="J2" s="18"/>
    </row>
    <row r="3" spans="1:32">
      <c r="H3" s="19" t="s">
        <v>246</v>
      </c>
      <c r="I3" s="18"/>
      <c r="J3" s="18"/>
    </row>
    <row r="4" spans="1:32">
      <c r="F4" s="13"/>
      <c r="G4" s="13"/>
      <c r="H4" s="19" t="s">
        <v>448</v>
      </c>
      <c r="I4" s="18"/>
      <c r="J4" s="18"/>
    </row>
    <row r="5" spans="1:32">
      <c r="F5" s="13"/>
      <c r="G5" s="13"/>
      <c r="H5" s="19"/>
      <c r="I5" s="18"/>
      <c r="J5" s="18"/>
    </row>
    <row r="6" spans="1:32">
      <c r="F6" s="13"/>
      <c r="G6" s="13"/>
      <c r="H6" s="17" t="s">
        <v>456</v>
      </c>
      <c r="I6" s="18"/>
      <c r="J6" s="18"/>
    </row>
    <row r="7" spans="1:32">
      <c r="F7" s="13"/>
      <c r="G7" s="13"/>
      <c r="H7" s="19" t="s">
        <v>152</v>
      </c>
      <c r="I7" s="18"/>
      <c r="J7" s="18"/>
    </row>
    <row r="8" spans="1:32">
      <c r="F8" s="13"/>
      <c r="G8" s="13"/>
      <c r="H8" s="19" t="s">
        <v>246</v>
      </c>
      <c r="I8" s="18"/>
      <c r="J8" s="18"/>
    </row>
    <row r="9" spans="1:32">
      <c r="F9" s="13"/>
      <c r="G9" s="13"/>
      <c r="H9" s="19" t="s">
        <v>609</v>
      </c>
      <c r="I9" s="18"/>
      <c r="J9" s="18"/>
    </row>
    <row r="10" spans="1:32">
      <c r="F10" s="13"/>
      <c r="G10" s="13"/>
      <c r="H10" s="19"/>
      <c r="I10" s="18"/>
      <c r="J10" s="18"/>
    </row>
    <row r="11" spans="1:32">
      <c r="A11" s="338" t="s">
        <v>11</v>
      </c>
      <c r="B11" s="338"/>
      <c r="C11" s="338"/>
      <c r="D11" s="338"/>
      <c r="E11" s="338"/>
      <c r="F11" s="338"/>
      <c r="G11" s="338"/>
      <c r="H11" s="338"/>
      <c r="I11" s="338"/>
    </row>
    <row r="12" spans="1:32">
      <c r="A12" s="338" t="s">
        <v>521</v>
      </c>
      <c r="B12" s="338"/>
      <c r="C12" s="338"/>
      <c r="D12" s="338"/>
      <c r="E12" s="338"/>
      <c r="F12" s="338"/>
      <c r="G12" s="338"/>
      <c r="H12" s="338"/>
      <c r="I12" s="338"/>
    </row>
    <row r="13" spans="1:32">
      <c r="A13" s="61"/>
      <c r="B13" s="20"/>
      <c r="C13" s="20"/>
      <c r="D13" s="20"/>
      <c r="E13" s="222"/>
      <c r="F13" s="20"/>
      <c r="G13" s="20"/>
      <c r="H13" s="20"/>
      <c r="I13" s="333"/>
    </row>
    <row r="14" spans="1:32">
      <c r="A14" s="22"/>
      <c r="B14" s="23"/>
      <c r="C14" s="24"/>
      <c r="D14" s="24"/>
      <c r="E14" s="24"/>
      <c r="G14" s="21"/>
      <c r="I14" s="332" t="s">
        <v>522</v>
      </c>
    </row>
    <row r="15" spans="1:32" ht="45">
      <c r="A15" s="296" t="s">
        <v>0</v>
      </c>
      <c r="B15" s="296" t="s">
        <v>1</v>
      </c>
      <c r="C15" s="297" t="s">
        <v>2</v>
      </c>
      <c r="D15" s="297" t="s">
        <v>3</v>
      </c>
      <c r="E15" s="297" t="s">
        <v>4</v>
      </c>
      <c r="F15" s="297" t="s">
        <v>5</v>
      </c>
      <c r="G15" s="298" t="s">
        <v>453</v>
      </c>
      <c r="H15" s="298" t="s">
        <v>474</v>
      </c>
      <c r="I15" s="27" t="s">
        <v>488</v>
      </c>
      <c r="M15" s="258"/>
      <c r="N15" s="258"/>
      <c r="O15" s="162"/>
      <c r="AE15" s="54"/>
      <c r="AF15" s="54"/>
    </row>
    <row r="16" spans="1:32">
      <c r="A16" s="299"/>
      <c r="B16" s="297" t="s">
        <v>6</v>
      </c>
      <c r="C16" s="297" t="s">
        <v>7</v>
      </c>
      <c r="D16" s="297" t="s">
        <v>8</v>
      </c>
      <c r="E16" s="297" t="s">
        <v>9</v>
      </c>
      <c r="F16" s="297" t="s">
        <v>10</v>
      </c>
      <c r="G16" s="300">
        <v>7</v>
      </c>
      <c r="H16" s="300">
        <v>8</v>
      </c>
      <c r="I16" s="156"/>
      <c r="M16" s="258"/>
      <c r="N16" s="258"/>
      <c r="O16" s="162"/>
      <c r="P16" s="260"/>
      <c r="AE16" s="54"/>
      <c r="AF16" s="54"/>
    </row>
    <row r="17" spans="1:32" ht="34.5" customHeight="1">
      <c r="A17" s="144">
        <v>1</v>
      </c>
      <c r="B17" s="301" t="s">
        <v>228</v>
      </c>
      <c r="C17" s="302" t="s">
        <v>159</v>
      </c>
      <c r="D17" s="303"/>
      <c r="E17" s="302"/>
      <c r="F17" s="303"/>
      <c r="G17" s="304">
        <f>G18+G39+G46+G53+G66+G80+G87+G94+G100+G73</f>
        <v>212412073.46000001</v>
      </c>
      <c r="H17" s="304">
        <f t="shared" ref="H17:I17" si="0">H18+H39+H46+H53+H66+H80+H87+H94+H100</f>
        <v>188137359.49000001</v>
      </c>
      <c r="I17" s="46">
        <f t="shared" si="0"/>
        <v>188481459.49000001</v>
      </c>
      <c r="M17" s="258"/>
      <c r="N17" s="258"/>
      <c r="O17" s="162"/>
      <c r="AE17" s="54"/>
      <c r="AF17" s="54"/>
    </row>
    <row r="18" spans="1:32">
      <c r="A18" s="144">
        <v>2</v>
      </c>
      <c r="B18" s="305" t="s">
        <v>85</v>
      </c>
      <c r="C18" s="34" t="s">
        <v>159</v>
      </c>
      <c r="D18" s="34" t="s">
        <v>86</v>
      </c>
      <c r="E18" s="34"/>
      <c r="F18" s="144"/>
      <c r="G18" s="134">
        <f>G19+G33</f>
        <v>20163886.75</v>
      </c>
      <c r="H18" s="134">
        <f>H19+H33</f>
        <v>18886542.75</v>
      </c>
      <c r="I18" s="29">
        <f>I19+I33</f>
        <v>18886542.75</v>
      </c>
      <c r="M18" s="258"/>
      <c r="N18" s="258"/>
      <c r="O18" s="162"/>
      <c r="AE18" s="54"/>
      <c r="AF18" s="54"/>
    </row>
    <row r="19" spans="1:32" ht="30">
      <c r="A19" s="144">
        <v>3</v>
      </c>
      <c r="B19" s="143" t="s">
        <v>12</v>
      </c>
      <c r="C19" s="34" t="s">
        <v>159</v>
      </c>
      <c r="D19" s="34" t="s">
        <v>92</v>
      </c>
      <c r="E19" s="34"/>
      <c r="F19" s="144"/>
      <c r="G19" s="134">
        <f>G20</f>
        <v>20059086.75</v>
      </c>
      <c r="H19" s="134">
        <f t="shared" ref="H19:I19" si="1">H20</f>
        <v>18793542.75</v>
      </c>
      <c r="I19" s="29">
        <f t="shared" si="1"/>
        <v>18793542.75</v>
      </c>
      <c r="M19" s="258"/>
      <c r="N19" s="258"/>
      <c r="O19" s="162"/>
      <c r="AE19" s="54"/>
      <c r="AF19" s="54"/>
    </row>
    <row r="20" spans="1:32">
      <c r="A20" s="144">
        <v>4</v>
      </c>
      <c r="B20" s="306" t="s">
        <v>13</v>
      </c>
      <c r="C20" s="34" t="s">
        <v>159</v>
      </c>
      <c r="D20" s="34" t="s">
        <v>92</v>
      </c>
      <c r="E20" s="34" t="s">
        <v>168</v>
      </c>
      <c r="F20" s="144"/>
      <c r="G20" s="134">
        <f t="shared" ref="G20:I20" si="2">G21</f>
        <v>20059086.75</v>
      </c>
      <c r="H20" s="134">
        <f t="shared" si="2"/>
        <v>18793542.75</v>
      </c>
      <c r="I20" s="29">
        <f t="shared" si="2"/>
        <v>18793542.75</v>
      </c>
      <c r="M20" s="258"/>
      <c r="N20" s="258"/>
      <c r="O20" s="162"/>
      <c r="AE20" s="54"/>
      <c r="AF20" s="54"/>
    </row>
    <row r="21" spans="1:32">
      <c r="A21" s="144">
        <v>5</v>
      </c>
      <c r="B21" s="306" t="s">
        <v>14</v>
      </c>
      <c r="C21" s="34" t="s">
        <v>159</v>
      </c>
      <c r="D21" s="34" t="s">
        <v>92</v>
      </c>
      <c r="E21" s="34" t="s">
        <v>169</v>
      </c>
      <c r="F21" s="144"/>
      <c r="G21" s="134">
        <f>G22+G30</f>
        <v>20059086.75</v>
      </c>
      <c r="H21" s="134">
        <f t="shared" ref="H21:I21" si="3">H22+H30</f>
        <v>18793542.75</v>
      </c>
      <c r="I21" s="29">
        <f t="shared" si="3"/>
        <v>18793542.75</v>
      </c>
      <c r="M21" s="258"/>
      <c r="N21" s="258"/>
      <c r="O21" s="162"/>
      <c r="AE21" s="54"/>
      <c r="AF21" s="54"/>
    </row>
    <row r="22" spans="1:32" ht="60">
      <c r="A22" s="144">
        <v>6</v>
      </c>
      <c r="B22" s="307" t="s">
        <v>366</v>
      </c>
      <c r="C22" s="34" t="s">
        <v>159</v>
      </c>
      <c r="D22" s="34" t="s">
        <v>92</v>
      </c>
      <c r="E22" s="34" t="s">
        <v>170</v>
      </c>
      <c r="F22" s="144"/>
      <c r="G22" s="134">
        <f t="shared" ref="G22" si="4">G23+G25+G27</f>
        <v>17264359.350000001</v>
      </c>
      <c r="H22" s="134">
        <f t="shared" ref="H22:I22" si="5">H23+H25+H27</f>
        <v>16315201.35</v>
      </c>
      <c r="I22" s="29">
        <f t="shared" si="5"/>
        <v>16315201.35</v>
      </c>
      <c r="M22" s="258"/>
      <c r="N22" s="258"/>
      <c r="O22" s="162"/>
      <c r="AE22" s="54"/>
      <c r="AF22" s="54"/>
    </row>
    <row r="23" spans="1:32" ht="45">
      <c r="A23" s="144">
        <v>7</v>
      </c>
      <c r="B23" s="143" t="s">
        <v>15</v>
      </c>
      <c r="C23" s="34" t="s">
        <v>159</v>
      </c>
      <c r="D23" s="34" t="s">
        <v>92</v>
      </c>
      <c r="E23" s="34" t="s">
        <v>170</v>
      </c>
      <c r="F23" s="144">
        <v>100</v>
      </c>
      <c r="G23" s="134">
        <f t="shared" ref="G23:I23" si="6">G24</f>
        <v>15624859.35</v>
      </c>
      <c r="H23" s="134">
        <f t="shared" si="6"/>
        <v>14675701.35</v>
      </c>
      <c r="I23" s="29">
        <f t="shared" si="6"/>
        <v>14675701.35</v>
      </c>
      <c r="M23" s="258"/>
      <c r="N23" s="258"/>
      <c r="O23" s="162"/>
      <c r="AE23" s="54"/>
      <c r="AF23" s="54"/>
    </row>
    <row r="24" spans="1:32">
      <c r="A24" s="144">
        <v>8</v>
      </c>
      <c r="B24" s="143" t="s">
        <v>16</v>
      </c>
      <c r="C24" s="34" t="s">
        <v>159</v>
      </c>
      <c r="D24" s="34" t="s">
        <v>92</v>
      </c>
      <c r="E24" s="34" t="s">
        <v>170</v>
      </c>
      <c r="F24" s="144">
        <v>120</v>
      </c>
      <c r="G24" s="134">
        <f>14675701.35+164926+949158-164926</f>
        <v>15624859.35</v>
      </c>
      <c r="H24" s="134">
        <f>14675701.35+164926-164926</f>
        <v>14675701.35</v>
      </c>
      <c r="I24" s="157">
        <v>14675701.35</v>
      </c>
      <c r="M24" s="258"/>
      <c r="N24" s="258"/>
      <c r="O24" s="162"/>
      <c r="AE24" s="54"/>
      <c r="AF24" s="54"/>
    </row>
    <row r="25" spans="1:32">
      <c r="A25" s="144">
        <v>9</v>
      </c>
      <c r="B25" s="143" t="s">
        <v>20</v>
      </c>
      <c r="C25" s="34" t="s">
        <v>159</v>
      </c>
      <c r="D25" s="34" t="s">
        <v>92</v>
      </c>
      <c r="E25" s="34" t="s">
        <v>170</v>
      </c>
      <c r="F25" s="144">
        <v>200</v>
      </c>
      <c r="G25" s="134">
        <f t="shared" ref="G25:I25" si="7">G26</f>
        <v>1634500</v>
      </c>
      <c r="H25" s="134">
        <f t="shared" si="7"/>
        <v>1634500</v>
      </c>
      <c r="I25" s="29">
        <f t="shared" si="7"/>
        <v>1634500</v>
      </c>
      <c r="M25" s="258"/>
      <c r="N25" s="258"/>
      <c r="O25" s="162"/>
      <c r="AE25" s="54"/>
      <c r="AF25" s="54"/>
    </row>
    <row r="26" spans="1:32">
      <c r="A26" s="144">
        <v>10</v>
      </c>
      <c r="B26" s="143" t="s">
        <v>21</v>
      </c>
      <c r="C26" s="34" t="s">
        <v>159</v>
      </c>
      <c r="D26" s="34" t="s">
        <v>92</v>
      </c>
      <c r="E26" s="34" t="s">
        <v>170</v>
      </c>
      <c r="F26" s="144">
        <v>240</v>
      </c>
      <c r="G26" s="134">
        <v>1634500</v>
      </c>
      <c r="H26" s="134">
        <v>1634500</v>
      </c>
      <c r="I26" s="157">
        <v>1634500</v>
      </c>
      <c r="M26" s="258"/>
      <c r="N26" s="258"/>
      <c r="O26" s="162"/>
      <c r="AE26" s="54"/>
      <c r="AF26" s="54"/>
    </row>
    <row r="27" spans="1:32">
      <c r="A27" s="144">
        <v>11</v>
      </c>
      <c r="B27" s="307" t="s">
        <v>32</v>
      </c>
      <c r="C27" s="34" t="s">
        <v>159</v>
      </c>
      <c r="D27" s="34" t="s">
        <v>92</v>
      </c>
      <c r="E27" s="34" t="s">
        <v>170</v>
      </c>
      <c r="F27" s="144">
        <v>800</v>
      </c>
      <c r="G27" s="134">
        <f t="shared" ref="G27:I27" si="8">G28+G29</f>
        <v>5000</v>
      </c>
      <c r="H27" s="134">
        <f t="shared" si="8"/>
        <v>5000</v>
      </c>
      <c r="I27" s="134">
        <f t="shared" si="8"/>
        <v>5000</v>
      </c>
      <c r="M27" s="258"/>
      <c r="N27" s="258"/>
      <c r="O27" s="162"/>
      <c r="AE27" s="54"/>
      <c r="AF27" s="54"/>
    </row>
    <row r="28" spans="1:32">
      <c r="A28" s="144">
        <v>12</v>
      </c>
      <c r="B28" s="307" t="s">
        <v>38</v>
      </c>
      <c r="C28" s="34" t="s">
        <v>159</v>
      </c>
      <c r="D28" s="34" t="s">
        <v>92</v>
      </c>
      <c r="E28" s="34" t="s">
        <v>170</v>
      </c>
      <c r="F28" s="144">
        <v>830</v>
      </c>
      <c r="G28" s="134">
        <v>2500</v>
      </c>
      <c r="H28" s="134">
        <v>2500</v>
      </c>
      <c r="I28" s="157">
        <v>2500</v>
      </c>
      <c r="M28" s="258"/>
      <c r="N28" s="258"/>
      <c r="O28" s="162"/>
      <c r="AE28" s="54"/>
      <c r="AF28" s="54"/>
    </row>
    <row r="29" spans="1:32">
      <c r="A29" s="144">
        <v>13</v>
      </c>
      <c r="B29" s="143" t="s">
        <v>80</v>
      </c>
      <c r="C29" s="34" t="s">
        <v>159</v>
      </c>
      <c r="D29" s="34" t="s">
        <v>92</v>
      </c>
      <c r="E29" s="34" t="s">
        <v>170</v>
      </c>
      <c r="F29" s="144">
        <v>850</v>
      </c>
      <c r="G29" s="134">
        <v>2500</v>
      </c>
      <c r="H29" s="134">
        <v>2500</v>
      </c>
      <c r="I29" s="157">
        <v>2500</v>
      </c>
      <c r="M29" s="258"/>
      <c r="N29" s="258"/>
      <c r="O29" s="162"/>
      <c r="AE29" s="54"/>
      <c r="AF29" s="54"/>
    </row>
    <row r="30" spans="1:32" ht="60">
      <c r="A30" s="144">
        <v>14</v>
      </c>
      <c r="B30" s="307" t="s">
        <v>367</v>
      </c>
      <c r="C30" s="34" t="s">
        <v>159</v>
      </c>
      <c r="D30" s="34" t="s">
        <v>92</v>
      </c>
      <c r="E30" s="34" t="s">
        <v>368</v>
      </c>
      <c r="F30" s="144"/>
      <c r="G30" s="134">
        <f t="shared" ref="G30:I31" si="9">G31</f>
        <v>2794727.4</v>
      </c>
      <c r="H30" s="134">
        <f t="shared" si="9"/>
        <v>2478341.4</v>
      </c>
      <c r="I30" s="29">
        <f t="shared" si="9"/>
        <v>2478341.4</v>
      </c>
      <c r="M30" s="258"/>
      <c r="N30" s="258"/>
      <c r="O30" s="162"/>
      <c r="AE30" s="54"/>
      <c r="AF30" s="54"/>
    </row>
    <row r="31" spans="1:32" ht="45">
      <c r="A31" s="144">
        <v>15</v>
      </c>
      <c r="B31" s="143" t="s">
        <v>15</v>
      </c>
      <c r="C31" s="34" t="s">
        <v>159</v>
      </c>
      <c r="D31" s="34" t="s">
        <v>92</v>
      </c>
      <c r="E31" s="34" t="s">
        <v>368</v>
      </c>
      <c r="F31" s="144">
        <v>100</v>
      </c>
      <c r="G31" s="134">
        <f t="shared" si="9"/>
        <v>2794727.4</v>
      </c>
      <c r="H31" s="134">
        <f t="shared" si="9"/>
        <v>2478341.4</v>
      </c>
      <c r="I31" s="29">
        <f t="shared" si="9"/>
        <v>2478341.4</v>
      </c>
      <c r="M31" s="258"/>
      <c r="N31" s="258"/>
      <c r="O31" s="162"/>
      <c r="AE31" s="54"/>
      <c r="AF31" s="54"/>
    </row>
    <row r="32" spans="1:32">
      <c r="A32" s="144">
        <v>16</v>
      </c>
      <c r="B32" s="143" t="s">
        <v>16</v>
      </c>
      <c r="C32" s="34" t="s">
        <v>159</v>
      </c>
      <c r="D32" s="34" t="s">
        <v>92</v>
      </c>
      <c r="E32" s="34" t="s">
        <v>368</v>
      </c>
      <c r="F32" s="144">
        <v>120</v>
      </c>
      <c r="G32" s="134">
        <f>2478341.4+316386</f>
        <v>2794727.4</v>
      </c>
      <c r="H32" s="134">
        <v>2478341.4</v>
      </c>
      <c r="I32" s="157">
        <v>2478341.4</v>
      </c>
      <c r="M32" s="258"/>
      <c r="N32" s="258"/>
      <c r="O32" s="162"/>
      <c r="AE32" s="54"/>
      <c r="AF32" s="54"/>
    </row>
    <row r="33" spans="1:32">
      <c r="A33" s="144">
        <v>17</v>
      </c>
      <c r="B33" s="307" t="s">
        <v>35</v>
      </c>
      <c r="C33" s="34" t="s">
        <v>159</v>
      </c>
      <c r="D33" s="34" t="s">
        <v>94</v>
      </c>
      <c r="E33" s="34"/>
      <c r="F33" s="144"/>
      <c r="G33" s="134">
        <f t="shared" ref="G33:I33" si="10">G34</f>
        <v>104800</v>
      </c>
      <c r="H33" s="134">
        <f t="shared" si="10"/>
        <v>93000</v>
      </c>
      <c r="I33" s="29">
        <f t="shared" si="10"/>
        <v>93000</v>
      </c>
      <c r="M33" s="258"/>
      <c r="N33" s="258"/>
      <c r="O33" s="162"/>
      <c r="AE33" s="54"/>
      <c r="AF33" s="54"/>
    </row>
    <row r="34" spans="1:32">
      <c r="A34" s="144">
        <v>18</v>
      </c>
      <c r="B34" s="306" t="s">
        <v>23</v>
      </c>
      <c r="C34" s="34" t="s">
        <v>159</v>
      </c>
      <c r="D34" s="34" t="s">
        <v>94</v>
      </c>
      <c r="E34" s="34">
        <v>9200000000</v>
      </c>
      <c r="F34" s="144"/>
      <c r="G34" s="134">
        <f t="shared" ref="G34:H34" si="11">G36</f>
        <v>104800</v>
      </c>
      <c r="H34" s="134">
        <f t="shared" si="11"/>
        <v>93000</v>
      </c>
      <c r="I34" s="29">
        <f t="shared" ref="I34" si="12">I36</f>
        <v>93000</v>
      </c>
      <c r="M34" s="258"/>
      <c r="N34" s="258"/>
      <c r="O34" s="162"/>
      <c r="AE34" s="54"/>
      <c r="AF34" s="54"/>
    </row>
    <row r="35" spans="1:32">
      <c r="A35" s="144">
        <v>19</v>
      </c>
      <c r="B35" s="306" t="s">
        <v>261</v>
      </c>
      <c r="C35" s="34" t="s">
        <v>159</v>
      </c>
      <c r="D35" s="34" t="s">
        <v>94</v>
      </c>
      <c r="E35" s="34">
        <v>9210000000</v>
      </c>
      <c r="F35" s="144"/>
      <c r="G35" s="134">
        <f t="shared" ref="G35:I36" si="13">G36</f>
        <v>104800</v>
      </c>
      <c r="H35" s="134">
        <f t="shared" si="13"/>
        <v>93000</v>
      </c>
      <c r="I35" s="29">
        <f t="shared" si="13"/>
        <v>93000</v>
      </c>
      <c r="M35" s="258"/>
      <c r="N35" s="258"/>
      <c r="O35" s="162"/>
      <c r="AE35" s="54"/>
      <c r="AF35" s="54"/>
    </row>
    <row r="36" spans="1:32" ht="45">
      <c r="A36" s="144">
        <v>20</v>
      </c>
      <c r="B36" s="306" t="s">
        <v>397</v>
      </c>
      <c r="C36" s="34" t="s">
        <v>159</v>
      </c>
      <c r="D36" s="34" t="s">
        <v>94</v>
      </c>
      <c r="E36" s="34">
        <v>9210075140</v>
      </c>
      <c r="F36" s="144"/>
      <c r="G36" s="134">
        <f t="shared" si="13"/>
        <v>104800</v>
      </c>
      <c r="H36" s="134">
        <f t="shared" si="13"/>
        <v>93000</v>
      </c>
      <c r="I36" s="29">
        <f t="shared" si="13"/>
        <v>93000</v>
      </c>
      <c r="M36" s="258"/>
      <c r="N36" s="258"/>
      <c r="O36" s="162"/>
      <c r="AE36" s="54"/>
      <c r="AF36" s="54"/>
    </row>
    <row r="37" spans="1:32">
      <c r="A37" s="144">
        <v>21</v>
      </c>
      <c r="B37" s="143" t="s">
        <v>18</v>
      </c>
      <c r="C37" s="34" t="s">
        <v>159</v>
      </c>
      <c r="D37" s="34" t="s">
        <v>94</v>
      </c>
      <c r="E37" s="34">
        <v>9210075140</v>
      </c>
      <c r="F37" s="144">
        <v>500</v>
      </c>
      <c r="G37" s="134">
        <f t="shared" ref="G37:I37" si="14">G38</f>
        <v>104800</v>
      </c>
      <c r="H37" s="134">
        <f t="shared" si="14"/>
        <v>93000</v>
      </c>
      <c r="I37" s="29">
        <f t="shared" si="14"/>
        <v>93000</v>
      </c>
      <c r="M37" s="258"/>
      <c r="N37" s="258"/>
      <c r="O37" s="162"/>
      <c r="AE37" s="54"/>
      <c r="AF37" s="54"/>
    </row>
    <row r="38" spans="1:32">
      <c r="A38" s="144">
        <v>22</v>
      </c>
      <c r="B38" s="143" t="s">
        <v>19</v>
      </c>
      <c r="C38" s="34" t="s">
        <v>159</v>
      </c>
      <c r="D38" s="34" t="s">
        <v>94</v>
      </c>
      <c r="E38" s="34">
        <v>9210075140</v>
      </c>
      <c r="F38" s="144">
        <v>530</v>
      </c>
      <c r="G38" s="134">
        <f>93000+11800</f>
        <v>104800</v>
      </c>
      <c r="H38" s="134">
        <v>93000</v>
      </c>
      <c r="I38" s="157">
        <v>93000</v>
      </c>
      <c r="M38" s="258"/>
      <c r="N38" s="258"/>
      <c r="O38" s="162"/>
      <c r="AE38" s="54"/>
      <c r="AF38" s="54"/>
    </row>
    <row r="39" spans="1:32">
      <c r="A39" s="144">
        <v>23</v>
      </c>
      <c r="B39" s="305" t="s">
        <v>95</v>
      </c>
      <c r="C39" s="34" t="s">
        <v>159</v>
      </c>
      <c r="D39" s="34" t="s">
        <v>96</v>
      </c>
      <c r="E39" s="34"/>
      <c r="F39" s="144"/>
      <c r="G39" s="134">
        <f t="shared" ref="G39:I39" si="15">G40</f>
        <v>2955800</v>
      </c>
      <c r="H39" s="134">
        <f t="shared" si="15"/>
        <v>3294200</v>
      </c>
      <c r="I39" s="29">
        <f t="shared" si="15"/>
        <v>3638300</v>
      </c>
      <c r="M39" s="258"/>
      <c r="N39" s="258"/>
      <c r="O39" s="162"/>
      <c r="AE39" s="54"/>
      <c r="AF39" s="54"/>
    </row>
    <row r="40" spans="1:32">
      <c r="A40" s="144">
        <v>24</v>
      </c>
      <c r="B40" s="143" t="s">
        <v>22</v>
      </c>
      <c r="C40" s="34" t="s">
        <v>159</v>
      </c>
      <c r="D40" s="34" t="s">
        <v>97</v>
      </c>
      <c r="E40" s="34"/>
      <c r="F40" s="144"/>
      <c r="G40" s="134">
        <f t="shared" ref="G40" si="16">G43</f>
        <v>2955800</v>
      </c>
      <c r="H40" s="134">
        <f t="shared" ref="H40:I40" si="17">H43</f>
        <v>3294200</v>
      </c>
      <c r="I40" s="29">
        <f t="shared" si="17"/>
        <v>3638300</v>
      </c>
      <c r="M40" s="258"/>
      <c r="N40" s="258"/>
      <c r="O40" s="162"/>
      <c r="AE40" s="54"/>
      <c r="AF40" s="54"/>
    </row>
    <row r="41" spans="1:32">
      <c r="A41" s="144">
        <v>25</v>
      </c>
      <c r="B41" s="143" t="s">
        <v>23</v>
      </c>
      <c r="C41" s="34" t="s">
        <v>159</v>
      </c>
      <c r="D41" s="34" t="s">
        <v>97</v>
      </c>
      <c r="E41" s="34">
        <v>9200000000</v>
      </c>
      <c r="F41" s="144"/>
      <c r="G41" s="134">
        <f>G43</f>
        <v>2955800</v>
      </c>
      <c r="H41" s="134">
        <f>H43</f>
        <v>3294200</v>
      </c>
      <c r="I41" s="29">
        <f>I43</f>
        <v>3638300</v>
      </c>
      <c r="M41" s="258"/>
      <c r="N41" s="258"/>
      <c r="O41" s="162"/>
      <c r="AE41" s="54"/>
      <c r="AF41" s="54"/>
    </row>
    <row r="42" spans="1:32">
      <c r="A42" s="144">
        <v>26</v>
      </c>
      <c r="B42" s="306" t="s">
        <v>261</v>
      </c>
      <c r="C42" s="34" t="s">
        <v>159</v>
      </c>
      <c r="D42" s="34" t="s">
        <v>97</v>
      </c>
      <c r="E42" s="34">
        <v>9210000000</v>
      </c>
      <c r="F42" s="144"/>
      <c r="G42" s="134">
        <f t="shared" ref="G42:I42" si="18">G43</f>
        <v>2955800</v>
      </c>
      <c r="H42" s="134">
        <f t="shared" si="18"/>
        <v>3294200</v>
      </c>
      <c r="I42" s="29">
        <f t="shared" si="18"/>
        <v>3638300</v>
      </c>
      <c r="M42" s="258"/>
      <c r="N42" s="258"/>
      <c r="O42" s="162"/>
      <c r="AE42" s="54"/>
      <c r="AF42" s="54"/>
    </row>
    <row r="43" spans="1:32" ht="30">
      <c r="A43" s="144">
        <v>27</v>
      </c>
      <c r="B43" s="143" t="s">
        <v>369</v>
      </c>
      <c r="C43" s="34" t="s">
        <v>159</v>
      </c>
      <c r="D43" s="34" t="s">
        <v>97</v>
      </c>
      <c r="E43" s="34">
        <v>9210051180</v>
      </c>
      <c r="F43" s="144"/>
      <c r="G43" s="134">
        <f t="shared" ref="G43:I43" si="19">G44</f>
        <v>2955800</v>
      </c>
      <c r="H43" s="134">
        <f t="shared" si="19"/>
        <v>3294200</v>
      </c>
      <c r="I43" s="29">
        <f t="shared" si="19"/>
        <v>3638300</v>
      </c>
      <c r="M43" s="258"/>
      <c r="N43" s="258"/>
      <c r="O43" s="162"/>
      <c r="AE43" s="54"/>
      <c r="AF43" s="54"/>
    </row>
    <row r="44" spans="1:32">
      <c r="A44" s="144">
        <v>28</v>
      </c>
      <c r="B44" s="143" t="s">
        <v>18</v>
      </c>
      <c r="C44" s="34" t="s">
        <v>159</v>
      </c>
      <c r="D44" s="34" t="s">
        <v>97</v>
      </c>
      <c r="E44" s="34">
        <v>9210051180</v>
      </c>
      <c r="F44" s="144">
        <v>500</v>
      </c>
      <c r="G44" s="134">
        <f>G45</f>
        <v>2955800</v>
      </c>
      <c r="H44" s="134">
        <f>H45</f>
        <v>3294200</v>
      </c>
      <c r="I44" s="29">
        <f>I45</f>
        <v>3638300</v>
      </c>
      <c r="M44" s="258"/>
      <c r="N44" s="258"/>
      <c r="O44" s="162"/>
      <c r="AE44" s="54"/>
      <c r="AF44" s="54"/>
    </row>
    <row r="45" spans="1:32">
      <c r="A45" s="144">
        <v>29</v>
      </c>
      <c r="B45" s="143" t="s">
        <v>19</v>
      </c>
      <c r="C45" s="34" t="s">
        <v>159</v>
      </c>
      <c r="D45" s="34" t="s">
        <v>97</v>
      </c>
      <c r="E45" s="34">
        <v>9210051180</v>
      </c>
      <c r="F45" s="144">
        <v>530</v>
      </c>
      <c r="G45" s="134">
        <v>2955800</v>
      </c>
      <c r="H45" s="134">
        <v>3294200</v>
      </c>
      <c r="I45" s="157">
        <v>3638300</v>
      </c>
      <c r="M45" s="258"/>
      <c r="N45" s="258"/>
      <c r="O45" s="247"/>
      <c r="AE45" s="54"/>
      <c r="AF45" s="54"/>
    </row>
    <row r="46" spans="1:32">
      <c r="A46" s="144">
        <v>30</v>
      </c>
      <c r="B46" s="143" t="s">
        <v>98</v>
      </c>
      <c r="C46" s="34" t="s">
        <v>159</v>
      </c>
      <c r="D46" s="34" t="s">
        <v>99</v>
      </c>
      <c r="E46" s="144"/>
      <c r="F46" s="144"/>
      <c r="G46" s="134">
        <f t="shared" ref="G46:I51" si="20">G47</f>
        <v>2702800</v>
      </c>
      <c r="H46" s="134">
        <f t="shared" si="20"/>
        <v>1801800</v>
      </c>
      <c r="I46" s="29">
        <f t="shared" si="20"/>
        <v>1801800</v>
      </c>
      <c r="M46" s="258"/>
      <c r="N46" s="258"/>
      <c r="O46" s="247"/>
      <c r="AE46" s="54"/>
      <c r="AF46" s="54"/>
    </row>
    <row r="47" spans="1:32" ht="30">
      <c r="A47" s="144">
        <v>31</v>
      </c>
      <c r="B47" s="143" t="s">
        <v>539</v>
      </c>
      <c r="C47" s="34" t="s">
        <v>159</v>
      </c>
      <c r="D47" s="34" t="s">
        <v>379</v>
      </c>
      <c r="E47" s="144"/>
      <c r="F47" s="144"/>
      <c r="G47" s="134">
        <f t="shared" si="20"/>
        <v>2702800</v>
      </c>
      <c r="H47" s="134">
        <f t="shared" si="20"/>
        <v>1801800</v>
      </c>
      <c r="I47" s="29">
        <f t="shared" si="20"/>
        <v>1801800</v>
      </c>
      <c r="M47" s="258"/>
      <c r="N47" s="258"/>
      <c r="O47" s="247"/>
      <c r="AE47" s="54"/>
      <c r="AF47" s="54"/>
    </row>
    <row r="48" spans="1:32" ht="30">
      <c r="A48" s="144">
        <v>32</v>
      </c>
      <c r="B48" s="143" t="s">
        <v>540</v>
      </c>
      <c r="C48" s="34" t="s">
        <v>159</v>
      </c>
      <c r="D48" s="34" t="s">
        <v>379</v>
      </c>
      <c r="E48" s="34" t="s">
        <v>187</v>
      </c>
      <c r="F48" s="144"/>
      <c r="G48" s="134">
        <f t="shared" si="20"/>
        <v>2702800</v>
      </c>
      <c r="H48" s="134">
        <f t="shared" si="20"/>
        <v>1801800</v>
      </c>
      <c r="I48" s="29">
        <f t="shared" si="20"/>
        <v>1801800</v>
      </c>
      <c r="M48" s="258"/>
      <c r="N48" s="258"/>
      <c r="O48" s="247"/>
      <c r="AE48" s="54"/>
      <c r="AF48" s="54"/>
    </row>
    <row r="49" spans="1:32" ht="30">
      <c r="A49" s="144">
        <v>33</v>
      </c>
      <c r="B49" s="143" t="s">
        <v>294</v>
      </c>
      <c r="C49" s="34" t="s">
        <v>159</v>
      </c>
      <c r="D49" s="34" t="s">
        <v>379</v>
      </c>
      <c r="E49" s="34" t="s">
        <v>188</v>
      </c>
      <c r="F49" s="144"/>
      <c r="G49" s="134">
        <f t="shared" si="20"/>
        <v>2702800</v>
      </c>
      <c r="H49" s="134">
        <f t="shared" si="20"/>
        <v>1801800</v>
      </c>
      <c r="I49" s="29">
        <f t="shared" si="20"/>
        <v>1801800</v>
      </c>
      <c r="M49" s="258"/>
      <c r="N49" s="258"/>
      <c r="O49" s="247"/>
      <c r="AE49" s="54"/>
      <c r="AF49" s="54"/>
    </row>
    <row r="50" spans="1:32" ht="60">
      <c r="A50" s="144">
        <v>34</v>
      </c>
      <c r="B50" s="143" t="s">
        <v>541</v>
      </c>
      <c r="C50" s="34" t="s">
        <v>159</v>
      </c>
      <c r="D50" s="34" t="s">
        <v>379</v>
      </c>
      <c r="E50" s="34" t="s">
        <v>542</v>
      </c>
      <c r="F50" s="144"/>
      <c r="G50" s="134">
        <f t="shared" si="20"/>
        <v>2702800</v>
      </c>
      <c r="H50" s="134">
        <f t="shared" si="20"/>
        <v>1801800</v>
      </c>
      <c r="I50" s="29">
        <f t="shared" si="20"/>
        <v>1801800</v>
      </c>
      <c r="M50" s="258"/>
      <c r="N50" s="258"/>
      <c r="O50" s="247"/>
      <c r="AE50" s="54"/>
      <c r="AF50" s="54"/>
    </row>
    <row r="51" spans="1:32">
      <c r="A51" s="144">
        <v>35</v>
      </c>
      <c r="B51" s="143" t="s">
        <v>543</v>
      </c>
      <c r="C51" s="34" t="s">
        <v>159</v>
      </c>
      <c r="D51" s="34" t="s">
        <v>379</v>
      </c>
      <c r="E51" s="34" t="s">
        <v>542</v>
      </c>
      <c r="F51" s="144">
        <v>500</v>
      </c>
      <c r="G51" s="134">
        <f t="shared" si="20"/>
        <v>2702800</v>
      </c>
      <c r="H51" s="134">
        <f t="shared" si="20"/>
        <v>1801800</v>
      </c>
      <c r="I51" s="29">
        <f t="shared" si="20"/>
        <v>1801800</v>
      </c>
      <c r="M51" s="258"/>
      <c r="N51" s="258"/>
      <c r="O51" s="247"/>
      <c r="AE51" s="54"/>
      <c r="AF51" s="54"/>
    </row>
    <row r="52" spans="1:32">
      <c r="A52" s="144">
        <v>36</v>
      </c>
      <c r="B52" s="143" t="s">
        <v>544</v>
      </c>
      <c r="C52" s="34" t="s">
        <v>159</v>
      </c>
      <c r="D52" s="34" t="s">
        <v>379</v>
      </c>
      <c r="E52" s="34" t="s">
        <v>542</v>
      </c>
      <c r="F52" s="144">
        <v>540</v>
      </c>
      <c r="G52" s="134">
        <v>2702800</v>
      </c>
      <c r="H52" s="134">
        <v>1801800</v>
      </c>
      <c r="I52" s="157">
        <v>1801800</v>
      </c>
      <c r="J52" s="246"/>
      <c r="K52" s="246"/>
      <c r="L52" s="246"/>
      <c r="M52" s="258"/>
      <c r="N52" s="258"/>
      <c r="O52" s="247"/>
      <c r="AE52" s="54"/>
      <c r="AF52" s="54"/>
    </row>
    <row r="53" spans="1:32" s="54" customFormat="1">
      <c r="A53" s="144">
        <v>37</v>
      </c>
      <c r="B53" s="305" t="s">
        <v>100</v>
      </c>
      <c r="C53" s="34" t="s">
        <v>159</v>
      </c>
      <c r="D53" s="34" t="s">
        <v>101</v>
      </c>
      <c r="E53" s="34"/>
      <c r="F53" s="144"/>
      <c r="G53" s="134">
        <f t="shared" ref="G53:H53" si="21">G54+G60</f>
        <v>23670389.690000001</v>
      </c>
      <c r="H53" s="134">
        <f t="shared" si="21"/>
        <v>24066926.73</v>
      </c>
      <c r="I53" s="29">
        <f t="shared" ref="I53" si="22">I54+I60</f>
        <v>24066926.73</v>
      </c>
      <c r="M53" s="258"/>
      <c r="N53" s="258"/>
      <c r="O53" s="162"/>
    </row>
    <row r="54" spans="1:32" s="54" customFormat="1">
      <c r="A54" s="144">
        <v>38</v>
      </c>
      <c r="B54" s="308" t="s">
        <v>24</v>
      </c>
      <c r="C54" s="34" t="s">
        <v>159</v>
      </c>
      <c r="D54" s="309" t="s">
        <v>103</v>
      </c>
      <c r="E54" s="309"/>
      <c r="F54" s="144"/>
      <c r="G54" s="134">
        <f t="shared" ref="G54:I57" si="23">G55</f>
        <v>200000</v>
      </c>
      <c r="H54" s="134">
        <f t="shared" si="23"/>
        <v>0</v>
      </c>
      <c r="I54" s="29">
        <f t="shared" si="23"/>
        <v>0</v>
      </c>
      <c r="M54" s="258"/>
      <c r="N54" s="258"/>
      <c r="O54" s="162"/>
    </row>
    <row r="55" spans="1:32" s="54" customFormat="1">
      <c r="A55" s="144">
        <v>39</v>
      </c>
      <c r="B55" s="310" t="s">
        <v>285</v>
      </c>
      <c r="C55" s="34" t="s">
        <v>159</v>
      </c>
      <c r="D55" s="309" t="s">
        <v>103</v>
      </c>
      <c r="E55" s="34" t="s">
        <v>178</v>
      </c>
      <c r="F55" s="144"/>
      <c r="G55" s="134">
        <f t="shared" si="23"/>
        <v>200000</v>
      </c>
      <c r="H55" s="134">
        <f t="shared" si="23"/>
        <v>0</v>
      </c>
      <c r="I55" s="29">
        <f t="shared" si="23"/>
        <v>0</v>
      </c>
      <c r="M55" s="258"/>
      <c r="N55" s="258"/>
      <c r="O55" s="162"/>
    </row>
    <row r="56" spans="1:32" s="54" customFormat="1">
      <c r="A56" s="144">
        <v>40</v>
      </c>
      <c r="B56" s="310" t="s">
        <v>39</v>
      </c>
      <c r="C56" s="34" t="s">
        <v>159</v>
      </c>
      <c r="D56" s="309" t="s">
        <v>103</v>
      </c>
      <c r="E56" s="34" t="s">
        <v>293</v>
      </c>
      <c r="F56" s="144"/>
      <c r="G56" s="134">
        <f t="shared" si="23"/>
        <v>200000</v>
      </c>
      <c r="H56" s="134">
        <f t="shared" si="23"/>
        <v>0</v>
      </c>
      <c r="I56" s="29">
        <f t="shared" si="23"/>
        <v>0</v>
      </c>
      <c r="M56" s="258"/>
      <c r="N56" s="258"/>
      <c r="O56" s="162"/>
    </row>
    <row r="57" spans="1:32" s="54" customFormat="1" ht="30">
      <c r="A57" s="144">
        <v>41</v>
      </c>
      <c r="B57" s="308" t="s">
        <v>286</v>
      </c>
      <c r="C57" s="34" t="s">
        <v>159</v>
      </c>
      <c r="D57" s="309" t="s">
        <v>103</v>
      </c>
      <c r="E57" s="34" t="s">
        <v>262</v>
      </c>
      <c r="F57" s="144"/>
      <c r="G57" s="134">
        <f t="shared" si="23"/>
        <v>200000</v>
      </c>
      <c r="H57" s="134">
        <f t="shared" si="23"/>
        <v>0</v>
      </c>
      <c r="I57" s="29">
        <f t="shared" si="23"/>
        <v>0</v>
      </c>
      <c r="M57" s="258"/>
      <c r="N57" s="258"/>
      <c r="O57" s="162"/>
    </row>
    <row r="58" spans="1:32" s="54" customFormat="1">
      <c r="A58" s="144">
        <v>42</v>
      </c>
      <c r="B58" s="143" t="s">
        <v>18</v>
      </c>
      <c r="C58" s="34" t="s">
        <v>159</v>
      </c>
      <c r="D58" s="309" t="s">
        <v>103</v>
      </c>
      <c r="E58" s="34" t="s">
        <v>262</v>
      </c>
      <c r="F58" s="144">
        <v>500</v>
      </c>
      <c r="G58" s="134">
        <f t="shared" ref="G58:I58" si="24">G59</f>
        <v>200000</v>
      </c>
      <c r="H58" s="134">
        <f t="shared" si="24"/>
        <v>0</v>
      </c>
      <c r="I58" s="29">
        <f t="shared" si="24"/>
        <v>0</v>
      </c>
      <c r="M58" s="258"/>
      <c r="N58" s="258"/>
      <c r="O58" s="162"/>
    </row>
    <row r="59" spans="1:32" s="54" customFormat="1">
      <c r="A59" s="144">
        <v>43</v>
      </c>
      <c r="B59" s="143" t="s">
        <v>25</v>
      </c>
      <c r="C59" s="34" t="s">
        <v>159</v>
      </c>
      <c r="D59" s="309" t="s">
        <v>103</v>
      </c>
      <c r="E59" s="34" t="s">
        <v>262</v>
      </c>
      <c r="F59" s="144">
        <v>540</v>
      </c>
      <c r="G59" s="134">
        <v>200000</v>
      </c>
      <c r="H59" s="134">
        <v>0</v>
      </c>
      <c r="I59" s="157">
        <v>0</v>
      </c>
      <c r="M59" s="258"/>
      <c r="N59" s="258"/>
      <c r="O59" s="162"/>
    </row>
    <row r="60" spans="1:32" s="54" customFormat="1">
      <c r="A60" s="144">
        <v>44</v>
      </c>
      <c r="B60" s="307" t="s">
        <v>106</v>
      </c>
      <c r="C60" s="34" t="s">
        <v>159</v>
      </c>
      <c r="D60" s="309" t="s">
        <v>107</v>
      </c>
      <c r="E60" s="34"/>
      <c r="F60" s="144"/>
      <c r="G60" s="134">
        <f t="shared" ref="G60:I62" si="25">G61</f>
        <v>23470389.690000001</v>
      </c>
      <c r="H60" s="134">
        <f t="shared" si="25"/>
        <v>24066926.73</v>
      </c>
      <c r="I60" s="29">
        <f t="shared" si="25"/>
        <v>24066926.73</v>
      </c>
      <c r="M60" s="258"/>
      <c r="N60" s="258"/>
      <c r="O60" s="162"/>
    </row>
    <row r="61" spans="1:32" s="54" customFormat="1">
      <c r="A61" s="144">
        <v>45</v>
      </c>
      <c r="B61" s="307" t="s">
        <v>43</v>
      </c>
      <c r="C61" s="34" t="s">
        <v>159</v>
      </c>
      <c r="D61" s="309" t="s">
        <v>107</v>
      </c>
      <c r="E61" s="34">
        <v>1000000000</v>
      </c>
      <c r="F61" s="144"/>
      <c r="G61" s="134">
        <f>G62</f>
        <v>23470389.690000001</v>
      </c>
      <c r="H61" s="134">
        <f t="shared" si="25"/>
        <v>24066926.73</v>
      </c>
      <c r="I61" s="29">
        <f t="shared" si="25"/>
        <v>24066926.73</v>
      </c>
      <c r="M61" s="258"/>
      <c r="N61" s="258"/>
      <c r="O61" s="162"/>
    </row>
    <row r="62" spans="1:32" s="54" customFormat="1">
      <c r="A62" s="144">
        <v>46</v>
      </c>
      <c r="B62" s="307" t="s">
        <v>254</v>
      </c>
      <c r="C62" s="34" t="s">
        <v>159</v>
      </c>
      <c r="D62" s="309" t="s">
        <v>107</v>
      </c>
      <c r="E62" s="34">
        <v>1040000000</v>
      </c>
      <c r="F62" s="144"/>
      <c r="G62" s="134">
        <f>G63</f>
        <v>23470389.690000001</v>
      </c>
      <c r="H62" s="134">
        <f t="shared" si="25"/>
        <v>24066926.73</v>
      </c>
      <c r="I62" s="29">
        <f t="shared" si="25"/>
        <v>24066926.73</v>
      </c>
      <c r="M62" s="258"/>
      <c r="N62" s="258"/>
      <c r="O62" s="162"/>
    </row>
    <row r="63" spans="1:32" s="54" customFormat="1" ht="60">
      <c r="A63" s="144">
        <v>47</v>
      </c>
      <c r="B63" s="307" t="s">
        <v>460</v>
      </c>
      <c r="C63" s="34" t="s">
        <v>159</v>
      </c>
      <c r="D63" s="309" t="s">
        <v>107</v>
      </c>
      <c r="E63" s="34">
        <v>1040082230</v>
      </c>
      <c r="F63" s="144"/>
      <c r="G63" s="134">
        <f t="shared" ref="G63:I64" si="26">G64</f>
        <v>23470389.690000001</v>
      </c>
      <c r="H63" s="134">
        <f t="shared" si="26"/>
        <v>24066926.73</v>
      </c>
      <c r="I63" s="29">
        <f t="shared" si="26"/>
        <v>24066926.73</v>
      </c>
      <c r="M63" s="258"/>
      <c r="N63" s="258"/>
      <c r="O63" s="162"/>
    </row>
    <row r="64" spans="1:32" s="54" customFormat="1">
      <c r="A64" s="144">
        <v>48</v>
      </c>
      <c r="B64" s="143" t="s">
        <v>18</v>
      </c>
      <c r="C64" s="34" t="s">
        <v>159</v>
      </c>
      <c r="D64" s="309" t="s">
        <v>107</v>
      </c>
      <c r="E64" s="34">
        <v>1040082230</v>
      </c>
      <c r="F64" s="144">
        <v>500</v>
      </c>
      <c r="G64" s="134">
        <f t="shared" si="26"/>
        <v>23470389.690000001</v>
      </c>
      <c r="H64" s="134">
        <f t="shared" si="26"/>
        <v>24066926.73</v>
      </c>
      <c r="I64" s="29">
        <f t="shared" si="26"/>
        <v>24066926.73</v>
      </c>
      <c r="M64" s="258"/>
      <c r="N64" s="258"/>
      <c r="O64" s="162"/>
    </row>
    <row r="65" spans="1:15" s="54" customFormat="1">
      <c r="A65" s="144">
        <v>49</v>
      </c>
      <c r="B65" s="143" t="s">
        <v>25</v>
      </c>
      <c r="C65" s="34" t="s">
        <v>159</v>
      </c>
      <c r="D65" s="309" t="s">
        <v>107</v>
      </c>
      <c r="E65" s="34">
        <v>1040082230</v>
      </c>
      <c r="F65" s="144">
        <v>540</v>
      </c>
      <c r="G65" s="134">
        <f>24066926.73-596537.04</f>
        <v>23470389.690000001</v>
      </c>
      <c r="H65" s="134">
        <v>24066926.73</v>
      </c>
      <c r="I65" s="157">
        <v>24066926.73</v>
      </c>
      <c r="M65" s="258"/>
      <c r="N65" s="258"/>
      <c r="O65" s="162"/>
    </row>
    <row r="66" spans="1:15" s="54" customFormat="1">
      <c r="A66" s="144">
        <v>50</v>
      </c>
      <c r="B66" s="307" t="s">
        <v>109</v>
      </c>
      <c r="C66" s="34" t="s">
        <v>159</v>
      </c>
      <c r="D66" s="309" t="s">
        <v>110</v>
      </c>
      <c r="E66" s="34"/>
      <c r="F66" s="144"/>
      <c r="G66" s="134">
        <f t="shared" ref="G66" si="27">G67</f>
        <v>976920</v>
      </c>
      <c r="H66" s="134">
        <f t="shared" ref="H66:I70" si="28">H67</f>
        <v>0</v>
      </c>
      <c r="I66" s="29">
        <f t="shared" si="28"/>
        <v>0</v>
      </c>
      <c r="M66" s="258"/>
      <c r="N66" s="258"/>
      <c r="O66" s="162"/>
    </row>
    <row r="67" spans="1:15" s="54" customFormat="1">
      <c r="A67" s="144">
        <v>51</v>
      </c>
      <c r="B67" s="306" t="s">
        <v>51</v>
      </c>
      <c r="C67" s="34" t="s">
        <v>159</v>
      </c>
      <c r="D67" s="309" t="s">
        <v>112</v>
      </c>
      <c r="E67" s="34"/>
      <c r="F67" s="144"/>
      <c r="G67" s="134">
        <f>G68</f>
        <v>976920</v>
      </c>
      <c r="H67" s="134">
        <f t="shared" si="28"/>
        <v>0</v>
      </c>
      <c r="I67" s="29">
        <f t="shared" si="28"/>
        <v>0</v>
      </c>
      <c r="M67" s="258"/>
      <c r="N67" s="258"/>
      <c r="O67" s="162"/>
    </row>
    <row r="68" spans="1:15" s="54" customFormat="1" ht="30">
      <c r="A68" s="144">
        <v>52</v>
      </c>
      <c r="B68" s="306" t="s">
        <v>52</v>
      </c>
      <c r="C68" s="34" t="s">
        <v>159</v>
      </c>
      <c r="D68" s="309" t="s">
        <v>112</v>
      </c>
      <c r="E68" s="34" t="s">
        <v>171</v>
      </c>
      <c r="F68" s="144"/>
      <c r="G68" s="134">
        <f>G69</f>
        <v>976920</v>
      </c>
      <c r="H68" s="134">
        <f t="shared" si="28"/>
        <v>0</v>
      </c>
      <c r="I68" s="29">
        <f t="shared" si="28"/>
        <v>0</v>
      </c>
      <c r="M68" s="258"/>
      <c r="N68" s="258"/>
      <c r="O68" s="162"/>
    </row>
    <row r="69" spans="1:15" s="54" customFormat="1">
      <c r="A69" s="144">
        <v>53</v>
      </c>
      <c r="B69" s="307" t="s">
        <v>489</v>
      </c>
      <c r="C69" s="34" t="s">
        <v>159</v>
      </c>
      <c r="D69" s="309" t="s">
        <v>112</v>
      </c>
      <c r="E69" s="34" t="s">
        <v>172</v>
      </c>
      <c r="F69" s="144"/>
      <c r="G69" s="134">
        <f>G70</f>
        <v>976920</v>
      </c>
      <c r="H69" s="134">
        <f t="shared" si="28"/>
        <v>0</v>
      </c>
      <c r="I69" s="29">
        <f t="shared" si="28"/>
        <v>0</v>
      </c>
      <c r="M69" s="258"/>
      <c r="N69" s="258"/>
      <c r="O69" s="162"/>
    </row>
    <row r="70" spans="1:15" s="54" customFormat="1" ht="45">
      <c r="A70" s="144">
        <v>54</v>
      </c>
      <c r="B70" s="307" t="s">
        <v>490</v>
      </c>
      <c r="C70" s="34" t="s">
        <v>159</v>
      </c>
      <c r="D70" s="309" t="s">
        <v>112</v>
      </c>
      <c r="E70" s="34" t="s">
        <v>491</v>
      </c>
      <c r="F70" s="144"/>
      <c r="G70" s="134">
        <f>G71</f>
        <v>976920</v>
      </c>
      <c r="H70" s="134">
        <f t="shared" si="28"/>
        <v>0</v>
      </c>
      <c r="I70" s="29">
        <f t="shared" si="28"/>
        <v>0</v>
      </c>
      <c r="M70" s="258"/>
      <c r="N70" s="258"/>
      <c r="O70" s="162"/>
    </row>
    <row r="71" spans="1:15" s="54" customFormat="1">
      <c r="A71" s="144">
        <v>55</v>
      </c>
      <c r="B71" s="143" t="s">
        <v>18</v>
      </c>
      <c r="C71" s="34" t="s">
        <v>159</v>
      </c>
      <c r="D71" s="309" t="s">
        <v>112</v>
      </c>
      <c r="E71" s="34" t="s">
        <v>491</v>
      </c>
      <c r="F71" s="144">
        <v>500</v>
      </c>
      <c r="G71" s="134">
        <v>976920</v>
      </c>
      <c r="H71" s="134">
        <v>0</v>
      </c>
      <c r="I71" s="29">
        <v>0</v>
      </c>
      <c r="M71" s="258"/>
      <c r="N71" s="258"/>
      <c r="O71" s="162"/>
    </row>
    <row r="72" spans="1:15" s="54" customFormat="1">
      <c r="A72" s="144">
        <v>56</v>
      </c>
      <c r="B72" s="143" t="s">
        <v>25</v>
      </c>
      <c r="C72" s="34" t="s">
        <v>159</v>
      </c>
      <c r="D72" s="309" t="s">
        <v>112</v>
      </c>
      <c r="E72" s="34" t="s">
        <v>491</v>
      </c>
      <c r="F72" s="144">
        <v>540</v>
      </c>
      <c r="G72" s="134">
        <f>G71</f>
        <v>976920</v>
      </c>
      <c r="H72" s="134">
        <f t="shared" ref="H72:I72" si="29">H71</f>
        <v>0</v>
      </c>
      <c r="I72" s="29">
        <f t="shared" si="29"/>
        <v>0</v>
      </c>
      <c r="M72" s="258"/>
      <c r="N72" s="258"/>
      <c r="O72" s="162"/>
    </row>
    <row r="73" spans="1:15" s="54" customFormat="1">
      <c r="A73" s="144">
        <v>57</v>
      </c>
      <c r="B73" s="143" t="s">
        <v>413</v>
      </c>
      <c r="C73" s="34" t="s">
        <v>159</v>
      </c>
      <c r="D73" s="309" t="s">
        <v>414</v>
      </c>
      <c r="E73" s="34"/>
      <c r="F73" s="144"/>
      <c r="G73" s="134">
        <f t="shared" ref="G73:G78" si="30">G74</f>
        <v>5000000</v>
      </c>
      <c r="H73" s="134">
        <f t="shared" ref="H73" si="31">H74</f>
        <v>0</v>
      </c>
      <c r="I73" s="29">
        <f>I74</f>
        <v>0</v>
      </c>
      <c r="M73" s="258"/>
      <c r="N73" s="258"/>
      <c r="O73" s="162"/>
    </row>
    <row r="74" spans="1:15" s="54" customFormat="1">
      <c r="A74" s="144">
        <v>58</v>
      </c>
      <c r="B74" s="143" t="s">
        <v>589</v>
      </c>
      <c r="C74" s="34" t="s">
        <v>159</v>
      </c>
      <c r="D74" s="309" t="s">
        <v>421</v>
      </c>
      <c r="E74" s="34"/>
      <c r="F74" s="144"/>
      <c r="G74" s="134">
        <f t="shared" si="30"/>
        <v>5000000</v>
      </c>
      <c r="H74" s="134"/>
      <c r="I74" s="157"/>
      <c r="M74" s="258"/>
      <c r="N74" s="258"/>
      <c r="O74" s="162"/>
    </row>
    <row r="75" spans="1:15" s="54" customFormat="1" ht="43.5" customHeight="1">
      <c r="A75" s="144">
        <v>59</v>
      </c>
      <c r="B75" s="143" t="s">
        <v>492</v>
      </c>
      <c r="C75" s="34" t="s">
        <v>159</v>
      </c>
      <c r="D75" s="309" t="s">
        <v>421</v>
      </c>
      <c r="E75" s="34" t="s">
        <v>493</v>
      </c>
      <c r="F75" s="144"/>
      <c r="G75" s="134">
        <f t="shared" si="30"/>
        <v>5000000</v>
      </c>
      <c r="H75" s="134">
        <f t="shared" ref="H75:I75" si="32">H76</f>
        <v>0</v>
      </c>
      <c r="I75" s="29">
        <f t="shared" si="32"/>
        <v>0</v>
      </c>
      <c r="M75" s="258"/>
      <c r="N75" s="258"/>
      <c r="O75" s="162"/>
    </row>
    <row r="76" spans="1:15" s="54" customFormat="1" ht="34.5" customHeight="1">
      <c r="A76" s="144">
        <v>60</v>
      </c>
      <c r="B76" s="143" t="s">
        <v>494</v>
      </c>
      <c r="C76" s="34" t="s">
        <v>159</v>
      </c>
      <c r="D76" s="309" t="s">
        <v>421</v>
      </c>
      <c r="E76" s="34" t="s">
        <v>495</v>
      </c>
      <c r="F76" s="144"/>
      <c r="G76" s="134">
        <f t="shared" si="30"/>
        <v>5000000</v>
      </c>
      <c r="H76" s="134"/>
      <c r="I76" s="157"/>
      <c r="M76" s="258"/>
      <c r="N76" s="258"/>
      <c r="O76" s="162"/>
    </row>
    <row r="77" spans="1:15" s="54" customFormat="1" ht="69" customHeight="1">
      <c r="A77" s="144">
        <v>61</v>
      </c>
      <c r="B77" s="143" t="s">
        <v>604</v>
      </c>
      <c r="C77" s="34" t="s">
        <v>159</v>
      </c>
      <c r="D77" s="309" t="s">
        <v>421</v>
      </c>
      <c r="E77" s="34" t="s">
        <v>530</v>
      </c>
      <c r="F77" s="144"/>
      <c r="G77" s="134">
        <f t="shared" si="30"/>
        <v>5000000</v>
      </c>
      <c r="H77" s="134">
        <f t="shared" ref="H77:I77" si="33">H78</f>
        <v>0</v>
      </c>
      <c r="I77" s="29">
        <f t="shared" si="33"/>
        <v>0</v>
      </c>
      <c r="M77" s="258"/>
      <c r="N77" s="258"/>
      <c r="O77" s="162"/>
    </row>
    <row r="78" spans="1:15" s="54" customFormat="1" ht="30" customHeight="1">
      <c r="A78" s="144">
        <v>62</v>
      </c>
      <c r="B78" s="143" t="s">
        <v>18</v>
      </c>
      <c r="C78" s="34" t="s">
        <v>159</v>
      </c>
      <c r="D78" s="309" t="s">
        <v>421</v>
      </c>
      <c r="E78" s="34" t="s">
        <v>530</v>
      </c>
      <c r="F78" s="144">
        <v>500</v>
      </c>
      <c r="G78" s="134">
        <f t="shared" si="30"/>
        <v>5000000</v>
      </c>
      <c r="H78" s="134">
        <f t="shared" ref="H78:I78" si="34">H79</f>
        <v>0</v>
      </c>
      <c r="I78" s="29">
        <f t="shared" si="34"/>
        <v>0</v>
      </c>
      <c r="M78" s="258"/>
      <c r="N78" s="258"/>
      <c r="O78" s="162"/>
    </row>
    <row r="79" spans="1:15" s="54" customFormat="1">
      <c r="A79" s="144">
        <v>63</v>
      </c>
      <c r="B79" s="143" t="s">
        <v>544</v>
      </c>
      <c r="C79" s="34" t="s">
        <v>159</v>
      </c>
      <c r="D79" s="309" t="s">
        <v>421</v>
      </c>
      <c r="E79" s="34" t="s">
        <v>530</v>
      </c>
      <c r="F79" s="144">
        <v>540</v>
      </c>
      <c r="G79" s="134">
        <v>5000000</v>
      </c>
      <c r="H79" s="134">
        <v>0</v>
      </c>
      <c r="I79" s="157">
        <v>0</v>
      </c>
      <c r="J79" s="278"/>
      <c r="M79" s="258"/>
      <c r="N79" s="258"/>
      <c r="O79" s="162"/>
    </row>
    <row r="80" spans="1:15" s="54" customFormat="1">
      <c r="A80" s="144">
        <v>64</v>
      </c>
      <c r="B80" s="305" t="s">
        <v>113</v>
      </c>
      <c r="C80" s="34" t="s">
        <v>159</v>
      </c>
      <c r="D80" s="34" t="s">
        <v>114</v>
      </c>
      <c r="E80" s="34"/>
      <c r="F80" s="144"/>
      <c r="G80" s="134">
        <f t="shared" ref="G80:I84" si="35">G81</f>
        <v>100000</v>
      </c>
      <c r="H80" s="134">
        <f t="shared" si="35"/>
        <v>0</v>
      </c>
      <c r="I80" s="29">
        <f t="shared" si="35"/>
        <v>0</v>
      </c>
      <c r="M80" s="258"/>
      <c r="N80" s="258"/>
      <c r="O80" s="162"/>
    </row>
    <row r="81" spans="1:15" s="54" customFormat="1">
      <c r="A81" s="144">
        <v>65</v>
      </c>
      <c r="B81" s="143" t="s">
        <v>71</v>
      </c>
      <c r="C81" s="34" t="s">
        <v>159</v>
      </c>
      <c r="D81" s="34" t="s">
        <v>118</v>
      </c>
      <c r="E81" s="34"/>
      <c r="F81" s="144"/>
      <c r="G81" s="134">
        <f t="shared" si="35"/>
        <v>100000</v>
      </c>
      <c r="H81" s="134">
        <f t="shared" si="35"/>
        <v>0</v>
      </c>
      <c r="I81" s="29">
        <f t="shared" si="35"/>
        <v>0</v>
      </c>
      <c r="M81" s="258"/>
      <c r="N81" s="258"/>
      <c r="O81" s="162"/>
    </row>
    <row r="82" spans="1:15" s="54" customFormat="1">
      <c r="A82" s="144">
        <v>66</v>
      </c>
      <c r="B82" s="306" t="s">
        <v>72</v>
      </c>
      <c r="C82" s="34" t="s">
        <v>159</v>
      </c>
      <c r="D82" s="34" t="s">
        <v>118</v>
      </c>
      <c r="E82" s="34" t="s">
        <v>210</v>
      </c>
      <c r="F82" s="144"/>
      <c r="G82" s="134">
        <f t="shared" si="35"/>
        <v>100000</v>
      </c>
      <c r="H82" s="134">
        <f t="shared" si="35"/>
        <v>0</v>
      </c>
      <c r="I82" s="29">
        <f t="shared" si="35"/>
        <v>0</v>
      </c>
      <c r="M82" s="258"/>
      <c r="N82" s="258"/>
      <c r="O82" s="162"/>
    </row>
    <row r="83" spans="1:15" s="54" customFormat="1">
      <c r="A83" s="144">
        <v>67</v>
      </c>
      <c r="B83" s="306" t="s">
        <v>301</v>
      </c>
      <c r="C83" s="34" t="s">
        <v>159</v>
      </c>
      <c r="D83" s="34" t="s">
        <v>118</v>
      </c>
      <c r="E83" s="34" t="s">
        <v>241</v>
      </c>
      <c r="F83" s="144"/>
      <c r="G83" s="134">
        <f t="shared" si="35"/>
        <v>100000</v>
      </c>
      <c r="H83" s="134">
        <f t="shared" si="35"/>
        <v>0</v>
      </c>
      <c r="I83" s="29">
        <f t="shared" si="35"/>
        <v>0</v>
      </c>
      <c r="M83" s="258"/>
      <c r="N83" s="258"/>
      <c r="O83" s="162"/>
    </row>
    <row r="84" spans="1:15" s="54" customFormat="1">
      <c r="A84" s="144">
        <v>68</v>
      </c>
      <c r="B84" s="143" t="s">
        <v>432</v>
      </c>
      <c r="C84" s="34" t="s">
        <v>159</v>
      </c>
      <c r="D84" s="34" t="s">
        <v>118</v>
      </c>
      <c r="E84" s="34" t="s">
        <v>433</v>
      </c>
      <c r="F84" s="144"/>
      <c r="G84" s="134">
        <f t="shared" si="35"/>
        <v>100000</v>
      </c>
      <c r="H84" s="134">
        <f t="shared" si="35"/>
        <v>0</v>
      </c>
      <c r="I84" s="29">
        <f t="shared" si="35"/>
        <v>0</v>
      </c>
      <c r="M84" s="258"/>
      <c r="N84" s="258"/>
      <c r="O84" s="162"/>
    </row>
    <row r="85" spans="1:15" s="54" customFormat="1">
      <c r="A85" s="144">
        <v>69</v>
      </c>
      <c r="B85" s="143" t="s">
        <v>18</v>
      </c>
      <c r="C85" s="34" t="s">
        <v>159</v>
      </c>
      <c r="D85" s="34" t="s">
        <v>118</v>
      </c>
      <c r="E85" s="34" t="s">
        <v>433</v>
      </c>
      <c r="F85" s="144">
        <v>500</v>
      </c>
      <c r="G85" s="134">
        <f>G86</f>
        <v>100000</v>
      </c>
      <c r="H85" s="134">
        <f>H86</f>
        <v>0</v>
      </c>
      <c r="I85" s="29">
        <f>I86</f>
        <v>0</v>
      </c>
      <c r="M85" s="258"/>
      <c r="N85" s="258"/>
      <c r="O85" s="162"/>
    </row>
    <row r="86" spans="1:15" s="54" customFormat="1">
      <c r="A86" s="144">
        <v>70</v>
      </c>
      <c r="B86" s="143" t="s">
        <v>25</v>
      </c>
      <c r="C86" s="34" t="s">
        <v>159</v>
      </c>
      <c r="D86" s="34" t="s">
        <v>118</v>
      </c>
      <c r="E86" s="34" t="s">
        <v>433</v>
      </c>
      <c r="F86" s="144">
        <v>540</v>
      </c>
      <c r="G86" s="134">
        <v>100000</v>
      </c>
      <c r="H86" s="134">
        <v>0</v>
      </c>
      <c r="I86" s="157">
        <v>0</v>
      </c>
      <c r="M86" s="258"/>
      <c r="N86" s="258"/>
      <c r="O86" s="162"/>
    </row>
    <row r="87" spans="1:15" s="54" customFormat="1">
      <c r="A87" s="144">
        <v>71</v>
      </c>
      <c r="B87" s="143" t="s">
        <v>253</v>
      </c>
      <c r="C87" s="34" t="s">
        <v>159</v>
      </c>
      <c r="D87" s="34" t="s">
        <v>250</v>
      </c>
      <c r="E87" s="34"/>
      <c r="F87" s="144"/>
      <c r="G87" s="134">
        <f>G88</f>
        <v>49800</v>
      </c>
      <c r="H87" s="134">
        <f t="shared" ref="H87:I89" si="36">H88</f>
        <v>0</v>
      </c>
      <c r="I87" s="29">
        <f t="shared" si="36"/>
        <v>0</v>
      </c>
      <c r="M87" s="258"/>
      <c r="N87" s="258"/>
      <c r="O87" s="162"/>
    </row>
    <row r="88" spans="1:15" s="54" customFormat="1">
      <c r="A88" s="144">
        <v>72</v>
      </c>
      <c r="B88" s="143" t="s">
        <v>466</v>
      </c>
      <c r="C88" s="34" t="s">
        <v>159</v>
      </c>
      <c r="D88" s="34" t="s">
        <v>545</v>
      </c>
      <c r="E88" s="34"/>
      <c r="F88" s="144"/>
      <c r="G88" s="134">
        <f>G89</f>
        <v>49800</v>
      </c>
      <c r="H88" s="134">
        <f t="shared" si="36"/>
        <v>0</v>
      </c>
      <c r="I88" s="29">
        <f t="shared" si="36"/>
        <v>0</v>
      </c>
      <c r="M88" s="258"/>
      <c r="N88" s="258"/>
      <c r="O88" s="162"/>
    </row>
    <row r="89" spans="1:15" s="54" customFormat="1" ht="30">
      <c r="A89" s="144">
        <v>73</v>
      </c>
      <c r="B89" s="143" t="s">
        <v>251</v>
      </c>
      <c r="C89" s="34" t="s">
        <v>159</v>
      </c>
      <c r="D89" s="34" t="s">
        <v>545</v>
      </c>
      <c r="E89" s="34" t="s">
        <v>359</v>
      </c>
      <c r="F89" s="144"/>
      <c r="G89" s="134">
        <f>G90</f>
        <v>49800</v>
      </c>
      <c r="H89" s="134">
        <f t="shared" si="36"/>
        <v>0</v>
      </c>
      <c r="I89" s="29">
        <f t="shared" si="36"/>
        <v>0</v>
      </c>
      <c r="M89" s="258"/>
      <c r="N89" s="258"/>
      <c r="O89" s="162"/>
    </row>
    <row r="90" spans="1:15" s="54" customFormat="1" ht="30">
      <c r="A90" s="144">
        <v>74</v>
      </c>
      <c r="B90" s="143" t="s">
        <v>314</v>
      </c>
      <c r="C90" s="34" t="s">
        <v>159</v>
      </c>
      <c r="D90" s="34" t="s">
        <v>545</v>
      </c>
      <c r="E90" s="34" t="s">
        <v>353</v>
      </c>
      <c r="F90" s="144"/>
      <c r="G90" s="134">
        <f>G92</f>
        <v>49800</v>
      </c>
      <c r="H90" s="134">
        <f t="shared" ref="H90:I90" si="37">H92</f>
        <v>0</v>
      </c>
      <c r="I90" s="29">
        <f t="shared" si="37"/>
        <v>0</v>
      </c>
      <c r="M90" s="258"/>
      <c r="N90" s="258"/>
      <c r="O90" s="162"/>
    </row>
    <row r="91" spans="1:15" s="54" customFormat="1" ht="60">
      <c r="A91" s="144">
        <v>75</v>
      </c>
      <c r="B91" s="143" t="s">
        <v>568</v>
      </c>
      <c r="C91" s="34" t="s">
        <v>159</v>
      </c>
      <c r="D91" s="34" t="s">
        <v>545</v>
      </c>
      <c r="E91" s="34" t="s">
        <v>546</v>
      </c>
      <c r="F91" s="144"/>
      <c r="G91" s="134">
        <f>G92</f>
        <v>49800</v>
      </c>
      <c r="H91" s="134">
        <f t="shared" ref="H91:I92" si="38">H92</f>
        <v>0</v>
      </c>
      <c r="I91" s="29">
        <f t="shared" si="38"/>
        <v>0</v>
      </c>
      <c r="M91" s="258"/>
      <c r="N91" s="258"/>
      <c r="O91" s="162"/>
    </row>
    <row r="92" spans="1:15" s="54" customFormat="1">
      <c r="A92" s="144">
        <v>76</v>
      </c>
      <c r="B92" s="143" t="s">
        <v>543</v>
      </c>
      <c r="C92" s="34" t="s">
        <v>159</v>
      </c>
      <c r="D92" s="34" t="s">
        <v>545</v>
      </c>
      <c r="E92" s="34" t="s">
        <v>546</v>
      </c>
      <c r="F92" s="144">
        <v>500</v>
      </c>
      <c r="G92" s="134">
        <f>G93</f>
        <v>49800</v>
      </c>
      <c r="H92" s="134">
        <f t="shared" si="38"/>
        <v>0</v>
      </c>
      <c r="I92" s="29">
        <f t="shared" si="38"/>
        <v>0</v>
      </c>
      <c r="M92" s="258"/>
      <c r="N92" s="258"/>
      <c r="O92" s="162"/>
    </row>
    <row r="93" spans="1:15" s="54" customFormat="1">
      <c r="A93" s="144">
        <v>77</v>
      </c>
      <c r="B93" s="143" t="s">
        <v>544</v>
      </c>
      <c r="C93" s="34" t="s">
        <v>159</v>
      </c>
      <c r="D93" s="34" t="s">
        <v>545</v>
      </c>
      <c r="E93" s="34" t="s">
        <v>546</v>
      </c>
      <c r="F93" s="144">
        <v>540</v>
      </c>
      <c r="G93" s="134">
        <v>49800</v>
      </c>
      <c r="H93" s="134">
        <v>0</v>
      </c>
      <c r="I93" s="157">
        <v>0</v>
      </c>
      <c r="J93" s="261"/>
      <c r="M93" s="258"/>
      <c r="N93" s="258"/>
      <c r="O93" s="162"/>
    </row>
    <row r="94" spans="1:15" s="54" customFormat="1">
      <c r="A94" s="144">
        <v>78</v>
      </c>
      <c r="B94" s="307" t="s">
        <v>406</v>
      </c>
      <c r="C94" s="34" t="s">
        <v>159</v>
      </c>
      <c r="D94" s="309" t="s">
        <v>407</v>
      </c>
      <c r="E94" s="34"/>
      <c r="F94" s="144"/>
      <c r="G94" s="134">
        <f t="shared" ref="G94:I98" si="39">G95</f>
        <v>200000</v>
      </c>
      <c r="H94" s="134">
        <f t="shared" si="39"/>
        <v>200000</v>
      </c>
      <c r="I94" s="29">
        <f t="shared" si="39"/>
        <v>200000</v>
      </c>
      <c r="M94" s="258"/>
      <c r="N94" s="258"/>
      <c r="O94" s="162"/>
    </row>
    <row r="95" spans="1:15" s="54" customFormat="1">
      <c r="A95" s="144">
        <v>79</v>
      </c>
      <c r="B95" s="306" t="s">
        <v>23</v>
      </c>
      <c r="C95" s="34" t="s">
        <v>159</v>
      </c>
      <c r="D95" s="309" t="s">
        <v>407</v>
      </c>
      <c r="E95" s="34">
        <v>9200000000</v>
      </c>
      <c r="F95" s="144"/>
      <c r="G95" s="134">
        <f t="shared" si="39"/>
        <v>200000</v>
      </c>
      <c r="H95" s="134">
        <f t="shared" si="39"/>
        <v>200000</v>
      </c>
      <c r="I95" s="29">
        <f t="shared" si="39"/>
        <v>200000</v>
      </c>
      <c r="M95" s="258"/>
      <c r="N95" s="258"/>
      <c r="O95" s="162"/>
    </row>
    <row r="96" spans="1:15" s="54" customFormat="1">
      <c r="A96" s="144">
        <v>80</v>
      </c>
      <c r="B96" s="306" t="s">
        <v>261</v>
      </c>
      <c r="C96" s="34" t="s">
        <v>159</v>
      </c>
      <c r="D96" s="309" t="s">
        <v>407</v>
      </c>
      <c r="E96" s="34">
        <v>9210000000</v>
      </c>
      <c r="F96" s="144"/>
      <c r="G96" s="134">
        <f t="shared" si="39"/>
        <v>200000</v>
      </c>
      <c r="H96" s="134">
        <f t="shared" si="39"/>
        <v>200000</v>
      </c>
      <c r="I96" s="29">
        <f t="shared" si="39"/>
        <v>200000</v>
      </c>
      <c r="M96" s="258"/>
      <c r="N96" s="258"/>
      <c r="O96" s="162"/>
    </row>
    <row r="97" spans="1:32" s="54" customFormat="1">
      <c r="A97" s="144">
        <v>81</v>
      </c>
      <c r="B97" s="306" t="s">
        <v>408</v>
      </c>
      <c r="C97" s="34" t="s">
        <v>159</v>
      </c>
      <c r="D97" s="309" t="s">
        <v>407</v>
      </c>
      <c r="E97" s="34">
        <v>9210000910</v>
      </c>
      <c r="F97" s="144"/>
      <c r="G97" s="134">
        <f t="shared" si="39"/>
        <v>200000</v>
      </c>
      <c r="H97" s="134">
        <f t="shared" si="39"/>
        <v>200000</v>
      </c>
      <c r="I97" s="29">
        <f t="shared" si="39"/>
        <v>200000</v>
      </c>
      <c r="M97" s="258"/>
      <c r="N97" s="258"/>
      <c r="O97" s="162"/>
    </row>
    <row r="98" spans="1:32" s="54" customFormat="1">
      <c r="A98" s="144">
        <v>82</v>
      </c>
      <c r="B98" s="306" t="s">
        <v>409</v>
      </c>
      <c r="C98" s="34" t="s">
        <v>159</v>
      </c>
      <c r="D98" s="309" t="s">
        <v>407</v>
      </c>
      <c r="E98" s="34">
        <v>9210000910</v>
      </c>
      <c r="F98" s="144">
        <v>700</v>
      </c>
      <c r="G98" s="134">
        <f t="shared" si="39"/>
        <v>200000</v>
      </c>
      <c r="H98" s="134">
        <f t="shared" si="39"/>
        <v>200000</v>
      </c>
      <c r="I98" s="29">
        <f t="shared" si="39"/>
        <v>200000</v>
      </c>
      <c r="M98" s="258"/>
      <c r="N98" s="258"/>
      <c r="O98" s="162"/>
    </row>
    <row r="99" spans="1:32" s="54" customFormat="1">
      <c r="A99" s="144">
        <v>83</v>
      </c>
      <c r="B99" s="306" t="s">
        <v>410</v>
      </c>
      <c r="C99" s="34" t="s">
        <v>159</v>
      </c>
      <c r="D99" s="309" t="s">
        <v>407</v>
      </c>
      <c r="E99" s="34">
        <v>9210000910</v>
      </c>
      <c r="F99" s="144">
        <v>730</v>
      </c>
      <c r="G99" s="134">
        <v>200000</v>
      </c>
      <c r="H99" s="134">
        <v>200000</v>
      </c>
      <c r="I99" s="157">
        <v>200000</v>
      </c>
      <c r="M99" s="258"/>
      <c r="N99" s="258"/>
      <c r="O99" s="162"/>
    </row>
    <row r="100" spans="1:32" ht="30">
      <c r="A100" s="144">
        <v>84</v>
      </c>
      <c r="B100" s="311" t="s">
        <v>229</v>
      </c>
      <c r="C100" s="34" t="s">
        <v>159</v>
      </c>
      <c r="D100" s="34" t="s">
        <v>129</v>
      </c>
      <c r="E100" s="34"/>
      <c r="F100" s="144"/>
      <c r="G100" s="134">
        <f t="shared" ref="G100:H100" si="40">G101+G110</f>
        <v>156592477.02000001</v>
      </c>
      <c r="H100" s="134">
        <f t="shared" si="40"/>
        <v>139887890.00999999</v>
      </c>
      <c r="I100" s="29">
        <f t="shared" ref="I100" si="41">I101+I110</f>
        <v>139887890.00999999</v>
      </c>
      <c r="M100" s="258"/>
      <c r="N100" s="258"/>
      <c r="O100" s="162"/>
      <c r="AE100" s="54"/>
      <c r="AF100" s="54"/>
    </row>
    <row r="101" spans="1:32" ht="30">
      <c r="A101" s="144">
        <v>85</v>
      </c>
      <c r="B101" s="143" t="s">
        <v>26</v>
      </c>
      <c r="C101" s="34" t="s">
        <v>159</v>
      </c>
      <c r="D101" s="34" t="s">
        <v>130</v>
      </c>
      <c r="E101" s="34"/>
      <c r="F101" s="144"/>
      <c r="G101" s="134">
        <f t="shared" ref="G101:I102" si="42">G102</f>
        <v>34921997.68</v>
      </c>
      <c r="H101" s="134">
        <f t="shared" si="42"/>
        <v>33446288.27</v>
      </c>
      <c r="I101" s="29">
        <f t="shared" si="42"/>
        <v>33446288.27</v>
      </c>
      <c r="M101" s="258"/>
      <c r="N101" s="258"/>
      <c r="O101" s="162"/>
      <c r="AE101" s="54"/>
      <c r="AF101" s="54"/>
    </row>
    <row r="102" spans="1:32">
      <c r="A102" s="144">
        <v>86</v>
      </c>
      <c r="B102" s="310" t="s">
        <v>319</v>
      </c>
      <c r="C102" s="34" t="s">
        <v>159</v>
      </c>
      <c r="D102" s="34" t="s">
        <v>130</v>
      </c>
      <c r="E102" s="34" t="s">
        <v>168</v>
      </c>
      <c r="F102" s="144"/>
      <c r="G102" s="134">
        <f t="shared" si="42"/>
        <v>34921997.68</v>
      </c>
      <c r="H102" s="134">
        <f t="shared" si="42"/>
        <v>33446288.27</v>
      </c>
      <c r="I102" s="29">
        <f t="shared" si="42"/>
        <v>33446288.27</v>
      </c>
      <c r="M102" s="258"/>
      <c r="N102" s="258"/>
      <c r="O102" s="162"/>
      <c r="AE102" s="54"/>
      <c r="AF102" s="54"/>
    </row>
    <row r="103" spans="1:32" ht="30">
      <c r="A103" s="144">
        <v>87</v>
      </c>
      <c r="B103" s="310" t="s">
        <v>27</v>
      </c>
      <c r="C103" s="34" t="s">
        <v>159</v>
      </c>
      <c r="D103" s="34" t="s">
        <v>130</v>
      </c>
      <c r="E103" s="34" t="s">
        <v>174</v>
      </c>
      <c r="F103" s="144"/>
      <c r="G103" s="134">
        <f t="shared" ref="G103:H103" si="43">G104+G107</f>
        <v>34921997.68</v>
      </c>
      <c r="H103" s="134">
        <f t="shared" si="43"/>
        <v>33446288.27</v>
      </c>
      <c r="I103" s="29">
        <f t="shared" ref="I103" si="44">I104+I107</f>
        <v>33446288.27</v>
      </c>
      <c r="M103" s="258"/>
      <c r="N103" s="258"/>
      <c r="O103" s="162"/>
      <c r="AE103" s="54"/>
      <c r="AF103" s="54"/>
    </row>
    <row r="104" spans="1:32" ht="90">
      <c r="A104" s="144">
        <v>88</v>
      </c>
      <c r="B104" s="310" t="s">
        <v>399</v>
      </c>
      <c r="C104" s="34" t="s">
        <v>159</v>
      </c>
      <c r="D104" s="34" t="s">
        <v>130</v>
      </c>
      <c r="E104" s="34" t="s">
        <v>175</v>
      </c>
      <c r="F104" s="144"/>
      <c r="G104" s="134">
        <f t="shared" ref="G104:I104" si="45">G105</f>
        <v>15291000</v>
      </c>
      <c r="H104" s="134">
        <f t="shared" si="45"/>
        <v>12226600</v>
      </c>
      <c r="I104" s="29">
        <f t="shared" si="45"/>
        <v>12226600</v>
      </c>
      <c r="M104" s="258"/>
      <c r="N104" s="258"/>
      <c r="O104" s="162"/>
      <c r="AE104" s="54"/>
      <c r="AF104" s="54"/>
    </row>
    <row r="105" spans="1:32">
      <c r="A105" s="144">
        <v>89</v>
      </c>
      <c r="B105" s="143" t="s">
        <v>18</v>
      </c>
      <c r="C105" s="34" t="s">
        <v>159</v>
      </c>
      <c r="D105" s="34" t="s">
        <v>130</v>
      </c>
      <c r="E105" s="34" t="s">
        <v>175</v>
      </c>
      <c r="F105" s="144">
        <v>500</v>
      </c>
      <c r="G105" s="134">
        <f t="shared" ref="G105:I105" si="46">G106</f>
        <v>15291000</v>
      </c>
      <c r="H105" s="134">
        <f t="shared" si="46"/>
        <v>12226600</v>
      </c>
      <c r="I105" s="29">
        <f t="shared" si="46"/>
        <v>12226600</v>
      </c>
      <c r="M105" s="258"/>
      <c r="N105" s="258"/>
      <c r="O105" s="162"/>
      <c r="AE105" s="54"/>
      <c r="AF105" s="54"/>
    </row>
    <row r="106" spans="1:32">
      <c r="A106" s="144">
        <v>90</v>
      </c>
      <c r="B106" s="143" t="s">
        <v>28</v>
      </c>
      <c r="C106" s="34" t="s">
        <v>159</v>
      </c>
      <c r="D106" s="34" t="s">
        <v>130</v>
      </c>
      <c r="E106" s="34" t="s">
        <v>175</v>
      </c>
      <c r="F106" s="144">
        <v>510</v>
      </c>
      <c r="G106" s="134">
        <v>15291000</v>
      </c>
      <c r="H106" s="134">
        <v>12226600</v>
      </c>
      <c r="I106" s="157">
        <v>12226600</v>
      </c>
      <c r="M106" s="257"/>
      <c r="N106" s="257"/>
      <c r="O106" s="162"/>
      <c r="AE106" s="54"/>
      <c r="AF106" s="54"/>
    </row>
    <row r="107" spans="1:32" ht="75">
      <c r="A107" s="144">
        <v>91</v>
      </c>
      <c r="B107" s="310" t="s">
        <v>370</v>
      </c>
      <c r="C107" s="34" t="s">
        <v>159</v>
      </c>
      <c r="D107" s="34" t="s">
        <v>130</v>
      </c>
      <c r="E107" s="34" t="s">
        <v>176</v>
      </c>
      <c r="F107" s="144"/>
      <c r="G107" s="134">
        <f t="shared" ref="G107:I108" si="47">G108</f>
        <v>19630997.68</v>
      </c>
      <c r="H107" s="134">
        <f t="shared" si="47"/>
        <v>21219688.27</v>
      </c>
      <c r="I107" s="29">
        <f t="shared" si="47"/>
        <v>21219688.27</v>
      </c>
      <c r="M107" s="258"/>
      <c r="N107" s="258"/>
      <c r="O107" s="162"/>
      <c r="AE107" s="54"/>
      <c r="AF107" s="54"/>
    </row>
    <row r="108" spans="1:32">
      <c r="A108" s="144">
        <v>92</v>
      </c>
      <c r="B108" s="143" t="s">
        <v>18</v>
      </c>
      <c r="C108" s="34" t="s">
        <v>159</v>
      </c>
      <c r="D108" s="34" t="s">
        <v>130</v>
      </c>
      <c r="E108" s="34" t="s">
        <v>176</v>
      </c>
      <c r="F108" s="144">
        <v>500</v>
      </c>
      <c r="G108" s="134">
        <f t="shared" si="47"/>
        <v>19630997.68</v>
      </c>
      <c r="H108" s="134">
        <f t="shared" si="47"/>
        <v>21219688.27</v>
      </c>
      <c r="I108" s="29">
        <f t="shared" si="47"/>
        <v>21219688.27</v>
      </c>
      <c r="M108" s="258"/>
      <c r="N108" s="258"/>
      <c r="O108" s="162"/>
      <c r="AE108" s="54"/>
      <c r="AF108" s="54"/>
    </row>
    <row r="109" spans="1:32">
      <c r="A109" s="144">
        <v>93</v>
      </c>
      <c r="B109" s="143" t="s">
        <v>28</v>
      </c>
      <c r="C109" s="34" t="s">
        <v>159</v>
      </c>
      <c r="D109" s="34" t="s">
        <v>130</v>
      </c>
      <c r="E109" s="34" t="s">
        <v>176</v>
      </c>
      <c r="F109" s="144">
        <v>510</v>
      </c>
      <c r="G109" s="134">
        <f>19630997.68</f>
        <v>19630997.68</v>
      </c>
      <c r="H109" s="134">
        <v>21219688.27</v>
      </c>
      <c r="I109" s="157">
        <v>21219688.27</v>
      </c>
      <c r="M109" s="258"/>
      <c r="N109" s="258"/>
      <c r="O109" s="162"/>
      <c r="AE109" s="54"/>
      <c r="AF109" s="54"/>
    </row>
    <row r="110" spans="1:32">
      <c r="A110" s="144">
        <v>94</v>
      </c>
      <c r="B110" s="305" t="s">
        <v>230</v>
      </c>
      <c r="C110" s="34" t="s">
        <v>159</v>
      </c>
      <c r="D110" s="34" t="s">
        <v>131</v>
      </c>
      <c r="E110" s="34"/>
      <c r="F110" s="144"/>
      <c r="G110" s="134">
        <f>G111+G117</f>
        <v>121670479.34</v>
      </c>
      <c r="H110" s="134">
        <f t="shared" ref="H110:I110" si="48">H111+H117</f>
        <v>106441601.73999999</v>
      </c>
      <c r="I110" s="29">
        <f t="shared" si="48"/>
        <v>106441601.73999999</v>
      </c>
      <c r="M110" s="258"/>
      <c r="N110" s="258"/>
      <c r="O110" s="162"/>
      <c r="AE110" s="54"/>
      <c r="AF110" s="54"/>
    </row>
    <row r="111" spans="1:32">
      <c r="A111" s="144">
        <v>95</v>
      </c>
      <c r="B111" s="310" t="s">
        <v>319</v>
      </c>
      <c r="C111" s="34" t="s">
        <v>159</v>
      </c>
      <c r="D111" s="34" t="s">
        <v>131</v>
      </c>
      <c r="E111" s="34" t="s">
        <v>168</v>
      </c>
      <c r="F111" s="144"/>
      <c r="G111" s="134">
        <f t="shared" ref="G111:I111" si="49">G112</f>
        <v>117374218.34</v>
      </c>
      <c r="H111" s="134">
        <f t="shared" si="49"/>
        <v>106441601.73999999</v>
      </c>
      <c r="I111" s="29">
        <f t="shared" si="49"/>
        <v>106441601.73999999</v>
      </c>
      <c r="M111" s="258"/>
      <c r="N111" s="258"/>
      <c r="O111" s="162"/>
      <c r="AE111" s="54"/>
      <c r="AF111" s="54"/>
    </row>
    <row r="112" spans="1:32" ht="30">
      <c r="A112" s="144">
        <v>96</v>
      </c>
      <c r="B112" s="310" t="s">
        <v>27</v>
      </c>
      <c r="C112" s="34" t="s">
        <v>159</v>
      </c>
      <c r="D112" s="34" t="s">
        <v>131</v>
      </c>
      <c r="E112" s="34" t="s">
        <v>174</v>
      </c>
      <c r="F112" s="144"/>
      <c r="G112" s="134">
        <f t="shared" ref="G112" si="50">G113</f>
        <v>117374218.34</v>
      </c>
      <c r="H112" s="134">
        <f>H113</f>
        <v>106441601.73999999</v>
      </c>
      <c r="I112" s="29">
        <f>I113</f>
        <v>106441601.73999999</v>
      </c>
      <c r="M112" s="258"/>
      <c r="N112" s="258"/>
      <c r="O112" s="162"/>
      <c r="AE112" s="54"/>
      <c r="AF112" s="54"/>
    </row>
    <row r="113" spans="1:32" ht="75">
      <c r="A113" s="144">
        <v>97</v>
      </c>
      <c r="B113" s="310" t="s">
        <v>400</v>
      </c>
      <c r="C113" s="34" t="s">
        <v>159</v>
      </c>
      <c r="D113" s="34" t="s">
        <v>131</v>
      </c>
      <c r="E113" s="34" t="s">
        <v>177</v>
      </c>
      <c r="F113" s="144"/>
      <c r="G113" s="134">
        <f t="shared" ref="G113" si="51">G114</f>
        <v>117374218.34</v>
      </c>
      <c r="H113" s="134">
        <f>H114</f>
        <v>106441601.73999999</v>
      </c>
      <c r="I113" s="29">
        <f>I114</f>
        <v>106441601.73999999</v>
      </c>
      <c r="M113" s="258"/>
      <c r="N113" s="258"/>
      <c r="O113" s="162"/>
      <c r="AE113" s="54"/>
      <c r="AF113" s="54"/>
    </row>
    <row r="114" spans="1:32">
      <c r="A114" s="144">
        <v>98</v>
      </c>
      <c r="B114" s="143" t="s">
        <v>18</v>
      </c>
      <c r="C114" s="34" t="s">
        <v>159</v>
      </c>
      <c r="D114" s="34" t="s">
        <v>131</v>
      </c>
      <c r="E114" s="34" t="s">
        <v>177</v>
      </c>
      <c r="F114" s="144">
        <v>500</v>
      </c>
      <c r="G114" s="134">
        <f t="shared" ref="G114:I114" si="52">G115</f>
        <v>117374218.34</v>
      </c>
      <c r="H114" s="134">
        <f t="shared" si="52"/>
        <v>106441601.73999999</v>
      </c>
      <c r="I114" s="29">
        <f t="shared" si="52"/>
        <v>106441601.73999999</v>
      </c>
      <c r="J114" s="276"/>
      <c r="M114" s="258"/>
      <c r="N114" s="258"/>
      <c r="O114" s="162"/>
      <c r="AE114" s="54"/>
      <c r="AF114" s="54"/>
    </row>
    <row r="115" spans="1:32">
      <c r="A115" s="144">
        <v>99</v>
      </c>
      <c r="B115" s="143" t="s">
        <v>25</v>
      </c>
      <c r="C115" s="34" t="s">
        <v>159</v>
      </c>
      <c r="D115" s="34" t="s">
        <v>131</v>
      </c>
      <c r="E115" s="34" t="s">
        <v>177</v>
      </c>
      <c r="F115" s="144">
        <v>540</v>
      </c>
      <c r="G115" s="134">
        <f>104965892.34+7437526+236800+4734000</f>
        <v>117374218.34</v>
      </c>
      <c r="H115" s="134">
        <v>106441601.73999999</v>
      </c>
      <c r="I115" s="29">
        <v>106441601.73999999</v>
      </c>
      <c r="J115" s="246"/>
      <c r="M115" s="258"/>
      <c r="N115" s="258"/>
      <c r="O115" s="162"/>
      <c r="AE115" s="54"/>
      <c r="AF115" s="54"/>
    </row>
    <row r="116" spans="1:32">
      <c r="A116" s="144">
        <v>100</v>
      </c>
      <c r="B116" s="143" t="s">
        <v>285</v>
      </c>
      <c r="C116" s="34" t="s">
        <v>159</v>
      </c>
      <c r="D116" s="34" t="s">
        <v>131</v>
      </c>
      <c r="E116" s="34" t="s">
        <v>178</v>
      </c>
      <c r="F116" s="144"/>
      <c r="G116" s="134">
        <f>G117+G121</f>
        <v>8592522</v>
      </c>
      <c r="H116" s="134">
        <f t="shared" ref="H116:I116" si="53">H117+H121</f>
        <v>0</v>
      </c>
      <c r="I116" s="29">
        <f t="shared" si="53"/>
        <v>0</v>
      </c>
      <c r="J116" s="256"/>
      <c r="M116" s="258"/>
      <c r="N116" s="258"/>
      <c r="O116" s="162"/>
      <c r="AE116" s="54"/>
      <c r="AF116" s="54"/>
    </row>
    <row r="117" spans="1:32" ht="30">
      <c r="A117" s="144">
        <v>101</v>
      </c>
      <c r="B117" s="143" t="s">
        <v>382</v>
      </c>
      <c r="C117" s="34" t="s">
        <v>159</v>
      </c>
      <c r="D117" s="34" t="s">
        <v>131</v>
      </c>
      <c r="E117" s="34" t="s">
        <v>179</v>
      </c>
      <c r="F117" s="144"/>
      <c r="G117" s="134">
        <f>G118</f>
        <v>4296261</v>
      </c>
      <c r="H117" s="134">
        <f t="shared" ref="H117:I118" si="54">H118</f>
        <v>0</v>
      </c>
      <c r="I117" s="29">
        <f t="shared" si="54"/>
        <v>0</v>
      </c>
      <c r="J117" s="256"/>
      <c r="M117" s="258"/>
      <c r="N117" s="258"/>
      <c r="O117" s="162"/>
      <c r="AE117" s="54"/>
      <c r="AF117" s="54"/>
    </row>
    <row r="118" spans="1:32">
      <c r="A118" s="144">
        <v>102</v>
      </c>
      <c r="B118" s="143" t="s">
        <v>291</v>
      </c>
      <c r="C118" s="34" t="s">
        <v>159</v>
      </c>
      <c r="D118" s="34" t="s">
        <v>131</v>
      </c>
      <c r="E118" s="34" t="s">
        <v>193</v>
      </c>
      <c r="F118" s="144"/>
      <c r="G118" s="134">
        <f>G119</f>
        <v>4296261</v>
      </c>
      <c r="H118" s="134">
        <f t="shared" si="54"/>
        <v>0</v>
      </c>
      <c r="I118" s="29">
        <f t="shared" si="54"/>
        <v>0</v>
      </c>
      <c r="J118" s="256"/>
      <c r="M118" s="258"/>
      <c r="N118" s="258"/>
      <c r="O118" s="162"/>
      <c r="AE118" s="54"/>
      <c r="AF118" s="54"/>
    </row>
    <row r="119" spans="1:32" ht="45">
      <c r="A119" s="144">
        <v>103</v>
      </c>
      <c r="B119" s="143" t="s">
        <v>547</v>
      </c>
      <c r="C119" s="34" t="s">
        <v>159</v>
      </c>
      <c r="D119" s="34" t="s">
        <v>131</v>
      </c>
      <c r="E119" s="34" t="s">
        <v>548</v>
      </c>
      <c r="F119" s="144"/>
      <c r="G119" s="134">
        <f>G120</f>
        <v>4296261</v>
      </c>
      <c r="H119" s="134">
        <f>H120</f>
        <v>0</v>
      </c>
      <c r="I119" s="29">
        <f>I120</f>
        <v>0</v>
      </c>
      <c r="J119" s="256"/>
      <c r="M119" s="258"/>
      <c r="N119" s="258"/>
      <c r="O119" s="162"/>
      <c r="AE119" s="54"/>
      <c r="AF119" s="54"/>
    </row>
    <row r="120" spans="1:32">
      <c r="A120" s="144">
        <v>104</v>
      </c>
      <c r="B120" s="143" t="s">
        <v>543</v>
      </c>
      <c r="C120" s="34" t="s">
        <v>159</v>
      </c>
      <c r="D120" s="34" t="s">
        <v>131</v>
      </c>
      <c r="E120" s="34" t="s">
        <v>548</v>
      </c>
      <c r="F120" s="144">
        <v>500</v>
      </c>
      <c r="G120" s="134">
        <f>G121</f>
        <v>4296261</v>
      </c>
      <c r="H120" s="134">
        <f>H121</f>
        <v>0</v>
      </c>
      <c r="I120" s="29">
        <f>I121</f>
        <v>0</v>
      </c>
      <c r="J120" s="256"/>
      <c r="M120" s="258"/>
      <c r="N120" s="258"/>
      <c r="O120" s="162"/>
      <c r="AE120" s="54"/>
      <c r="AF120" s="54"/>
    </row>
    <row r="121" spans="1:32">
      <c r="A121" s="144">
        <v>105</v>
      </c>
      <c r="B121" s="143" t="s">
        <v>544</v>
      </c>
      <c r="C121" s="34" t="s">
        <v>159</v>
      </c>
      <c r="D121" s="34" t="s">
        <v>131</v>
      </c>
      <c r="E121" s="34" t="s">
        <v>548</v>
      </c>
      <c r="F121" s="144">
        <v>540</v>
      </c>
      <c r="G121" s="134">
        <v>4296261</v>
      </c>
      <c r="H121" s="134">
        <v>0</v>
      </c>
      <c r="I121" s="29">
        <v>0</v>
      </c>
      <c r="J121" s="246"/>
      <c r="M121" s="258"/>
      <c r="N121" s="258"/>
      <c r="O121" s="162"/>
      <c r="AE121" s="54"/>
      <c r="AF121" s="54"/>
    </row>
    <row r="122" spans="1:32" ht="24.75" customHeight="1">
      <c r="A122" s="144">
        <v>106</v>
      </c>
      <c r="B122" s="312" t="s">
        <v>231</v>
      </c>
      <c r="C122" s="302" t="s">
        <v>153</v>
      </c>
      <c r="D122" s="303"/>
      <c r="E122" s="302"/>
      <c r="F122" s="303"/>
      <c r="G122" s="304">
        <f>G123+G211+G264+G304+G313+G282+G191</f>
        <v>184250287.81999999</v>
      </c>
      <c r="H122" s="304">
        <f>H123+H211+H264+H304+H313+H282+H191</f>
        <v>176660876.08000001</v>
      </c>
      <c r="I122" s="46">
        <f>I123+I211+I264+I304+I313+I282+I191</f>
        <v>176485901.22</v>
      </c>
      <c r="M122" s="258"/>
      <c r="N122" s="258"/>
      <c r="O122" s="162"/>
      <c r="AE122" s="54"/>
      <c r="AF122" s="54"/>
    </row>
    <row r="123" spans="1:32">
      <c r="A123" s="144">
        <v>107</v>
      </c>
      <c r="B123" s="305" t="s">
        <v>85</v>
      </c>
      <c r="C123" s="34" t="s">
        <v>153</v>
      </c>
      <c r="D123" s="34" t="s">
        <v>86</v>
      </c>
      <c r="E123" s="34"/>
      <c r="F123" s="144"/>
      <c r="G123" s="134">
        <f>G124+G130+G143+G149+G155</f>
        <v>58789952.839999996</v>
      </c>
      <c r="H123" s="134">
        <f>H124+H130+H143+H149+H155</f>
        <v>51811614.350000009</v>
      </c>
      <c r="I123" s="29">
        <f>I124+I130+I143+I149+I155</f>
        <v>51859314.350000009</v>
      </c>
      <c r="M123" s="258"/>
      <c r="N123" s="258"/>
      <c r="O123" s="162"/>
      <c r="AE123" s="54"/>
      <c r="AF123" s="54"/>
    </row>
    <row r="124" spans="1:32" ht="30">
      <c r="A124" s="144">
        <v>108</v>
      </c>
      <c r="B124" s="143" t="s">
        <v>87</v>
      </c>
      <c r="C124" s="34" t="s">
        <v>153</v>
      </c>
      <c r="D124" s="34" t="s">
        <v>88</v>
      </c>
      <c r="E124" s="34"/>
      <c r="F124" s="144"/>
      <c r="G124" s="134">
        <f t="shared" ref="G124:I128" si="55">G125</f>
        <v>2527476.98</v>
      </c>
      <c r="H124" s="134">
        <f t="shared" si="55"/>
        <v>2464199.7799999998</v>
      </c>
      <c r="I124" s="29">
        <f t="shared" si="55"/>
        <v>2464199.7799999998</v>
      </c>
      <c r="M124" s="258"/>
      <c r="N124" s="258"/>
      <c r="O124" s="162"/>
      <c r="AE124" s="54"/>
      <c r="AF124" s="54"/>
    </row>
    <row r="125" spans="1:32">
      <c r="A125" s="144">
        <v>109</v>
      </c>
      <c r="B125" s="307" t="s">
        <v>255</v>
      </c>
      <c r="C125" s="34" t="s">
        <v>153</v>
      </c>
      <c r="D125" s="34" t="s">
        <v>88</v>
      </c>
      <c r="E125" s="34">
        <v>8500000000</v>
      </c>
      <c r="F125" s="144"/>
      <c r="G125" s="134">
        <f t="shared" si="55"/>
        <v>2527476.98</v>
      </c>
      <c r="H125" s="134">
        <f t="shared" si="55"/>
        <v>2464199.7799999998</v>
      </c>
      <c r="I125" s="29">
        <f t="shared" si="55"/>
        <v>2464199.7799999998</v>
      </c>
      <c r="M125" s="258"/>
      <c r="N125" s="258"/>
      <c r="O125" s="162"/>
      <c r="AE125" s="54"/>
      <c r="AF125" s="54"/>
    </row>
    <row r="126" spans="1:32">
      <c r="A126" s="144">
        <v>110</v>
      </c>
      <c r="B126" s="307" t="s">
        <v>256</v>
      </c>
      <c r="C126" s="34" t="s">
        <v>153</v>
      </c>
      <c r="D126" s="34" t="s">
        <v>88</v>
      </c>
      <c r="E126" s="34">
        <v>8510000000</v>
      </c>
      <c r="F126" s="144"/>
      <c r="G126" s="134">
        <f t="shared" si="55"/>
        <v>2527476.98</v>
      </c>
      <c r="H126" s="134">
        <f t="shared" si="55"/>
        <v>2464199.7799999998</v>
      </c>
      <c r="I126" s="29">
        <f t="shared" si="55"/>
        <v>2464199.7799999998</v>
      </c>
      <c r="M126" s="258"/>
      <c r="N126" s="258"/>
      <c r="O126" s="162"/>
      <c r="AE126" s="54"/>
      <c r="AF126" s="54"/>
    </row>
    <row r="127" spans="1:32" ht="30">
      <c r="A127" s="144">
        <v>111</v>
      </c>
      <c r="B127" s="306" t="s">
        <v>257</v>
      </c>
      <c r="C127" s="34" t="s">
        <v>153</v>
      </c>
      <c r="D127" s="34" t="s">
        <v>88</v>
      </c>
      <c r="E127" s="34">
        <v>8510000210</v>
      </c>
      <c r="F127" s="144"/>
      <c r="G127" s="134">
        <f t="shared" si="55"/>
        <v>2527476.98</v>
      </c>
      <c r="H127" s="134">
        <f t="shared" si="55"/>
        <v>2464199.7799999998</v>
      </c>
      <c r="I127" s="29">
        <f t="shared" si="55"/>
        <v>2464199.7799999998</v>
      </c>
      <c r="M127" s="258"/>
      <c r="N127" s="258"/>
      <c r="O127" s="162"/>
      <c r="AE127" s="54"/>
      <c r="AF127" s="54"/>
    </row>
    <row r="128" spans="1:32" ht="45">
      <c r="A128" s="144">
        <v>112</v>
      </c>
      <c r="B128" s="306" t="s">
        <v>146</v>
      </c>
      <c r="C128" s="34" t="s">
        <v>153</v>
      </c>
      <c r="D128" s="34" t="s">
        <v>88</v>
      </c>
      <c r="E128" s="34">
        <v>8510000210</v>
      </c>
      <c r="F128" s="144">
        <v>100</v>
      </c>
      <c r="G128" s="134">
        <f t="shared" si="55"/>
        <v>2527476.98</v>
      </c>
      <c r="H128" s="134">
        <f t="shared" si="55"/>
        <v>2464199.7799999998</v>
      </c>
      <c r="I128" s="29">
        <f t="shared" si="55"/>
        <v>2464199.7799999998</v>
      </c>
      <c r="M128" s="258"/>
      <c r="N128" s="258"/>
      <c r="O128" s="162"/>
      <c r="AE128" s="54"/>
      <c r="AF128" s="54"/>
    </row>
    <row r="129" spans="1:32">
      <c r="A129" s="144">
        <v>113</v>
      </c>
      <c r="B129" s="313" t="s">
        <v>16</v>
      </c>
      <c r="C129" s="34" t="s">
        <v>153</v>
      </c>
      <c r="D129" s="34" t="s">
        <v>88</v>
      </c>
      <c r="E129" s="34">
        <v>8510000210</v>
      </c>
      <c r="F129" s="144">
        <v>120</v>
      </c>
      <c r="G129" s="134">
        <f>2464199.78+63277.2</f>
        <v>2527476.98</v>
      </c>
      <c r="H129" s="134">
        <v>2464199.7799999998</v>
      </c>
      <c r="I129" s="157">
        <v>2464199.7799999998</v>
      </c>
      <c r="M129" s="258"/>
      <c r="N129" s="258"/>
      <c r="O129" s="162"/>
      <c r="AE129" s="54"/>
      <c r="AF129" s="54"/>
    </row>
    <row r="130" spans="1:32" ht="30">
      <c r="A130" s="144">
        <v>114</v>
      </c>
      <c r="B130" s="143" t="s">
        <v>17</v>
      </c>
      <c r="C130" s="34" t="s">
        <v>153</v>
      </c>
      <c r="D130" s="34" t="s">
        <v>91</v>
      </c>
      <c r="E130" s="34"/>
      <c r="F130" s="144"/>
      <c r="G130" s="134">
        <f t="shared" ref="G130:I131" si="56">G131</f>
        <v>42825942.369999997</v>
      </c>
      <c r="H130" s="134">
        <f t="shared" si="56"/>
        <v>40547964.570000008</v>
      </c>
      <c r="I130" s="29">
        <f t="shared" si="56"/>
        <v>40547964.570000008</v>
      </c>
      <c r="M130" s="258"/>
      <c r="N130" s="258"/>
      <c r="O130" s="162"/>
      <c r="AE130" s="54"/>
      <c r="AF130" s="54"/>
    </row>
    <row r="131" spans="1:32">
      <c r="A131" s="144">
        <v>115</v>
      </c>
      <c r="B131" s="307" t="s">
        <v>255</v>
      </c>
      <c r="C131" s="34" t="s">
        <v>153</v>
      </c>
      <c r="D131" s="34" t="s">
        <v>91</v>
      </c>
      <c r="E131" s="34" t="s">
        <v>258</v>
      </c>
      <c r="F131" s="144"/>
      <c r="G131" s="134">
        <f t="shared" si="56"/>
        <v>42825942.369999997</v>
      </c>
      <c r="H131" s="134">
        <f t="shared" si="56"/>
        <v>40547964.570000008</v>
      </c>
      <c r="I131" s="29">
        <f t="shared" si="56"/>
        <v>40547964.570000008</v>
      </c>
      <c r="M131" s="258"/>
      <c r="N131" s="258"/>
      <c r="O131" s="162"/>
      <c r="AE131" s="54"/>
      <c r="AF131" s="54"/>
    </row>
    <row r="132" spans="1:32">
      <c r="A132" s="144">
        <v>116</v>
      </c>
      <c r="B132" s="307" t="s">
        <v>256</v>
      </c>
      <c r="C132" s="34" t="s">
        <v>153</v>
      </c>
      <c r="D132" s="34" t="s">
        <v>91</v>
      </c>
      <c r="E132" s="34" t="s">
        <v>259</v>
      </c>
      <c r="F132" s="144"/>
      <c r="G132" s="134">
        <f>G133+G140</f>
        <v>42825942.369999997</v>
      </c>
      <c r="H132" s="134">
        <f t="shared" ref="H132:I132" si="57">H133+H140</f>
        <v>40547964.570000008</v>
      </c>
      <c r="I132" s="29">
        <f t="shared" si="57"/>
        <v>40547964.570000008</v>
      </c>
      <c r="M132" s="258"/>
      <c r="N132" s="258"/>
      <c r="O132" s="162"/>
      <c r="AE132" s="54"/>
      <c r="AF132" s="54"/>
    </row>
    <row r="133" spans="1:32" ht="45">
      <c r="A133" s="144">
        <v>117</v>
      </c>
      <c r="B133" s="306" t="s">
        <v>373</v>
      </c>
      <c r="C133" s="34" t="s">
        <v>153</v>
      </c>
      <c r="D133" s="34" t="s">
        <v>91</v>
      </c>
      <c r="E133" s="34" t="s">
        <v>260</v>
      </c>
      <c r="F133" s="144"/>
      <c r="G133" s="134">
        <f t="shared" ref="G133:H133" si="58">G134+G136+G138</f>
        <v>37820240.019999996</v>
      </c>
      <c r="H133" s="134">
        <f t="shared" si="58"/>
        <v>35985202.620000005</v>
      </c>
      <c r="I133" s="29">
        <f t="shared" ref="I133" si="59">I134+I136+I138</f>
        <v>35985202.620000005</v>
      </c>
      <c r="M133" s="258"/>
      <c r="N133" s="258"/>
      <c r="O133" s="162"/>
      <c r="AE133" s="54"/>
      <c r="AF133" s="54"/>
    </row>
    <row r="134" spans="1:32" ht="45">
      <c r="A134" s="144">
        <v>118</v>
      </c>
      <c r="B134" s="143" t="s">
        <v>15</v>
      </c>
      <c r="C134" s="34" t="s">
        <v>153</v>
      </c>
      <c r="D134" s="34" t="s">
        <v>91</v>
      </c>
      <c r="E134" s="34" t="s">
        <v>260</v>
      </c>
      <c r="F134" s="144">
        <v>100</v>
      </c>
      <c r="G134" s="134">
        <f t="shared" ref="G134:I134" si="60">G135</f>
        <v>30457710.02</v>
      </c>
      <c r="H134" s="134">
        <f t="shared" si="60"/>
        <v>28622672.620000001</v>
      </c>
      <c r="I134" s="29">
        <f t="shared" si="60"/>
        <v>28622672.620000001</v>
      </c>
      <c r="M134" s="258"/>
      <c r="N134" s="258"/>
      <c r="O134" s="162"/>
      <c r="AE134" s="54"/>
      <c r="AF134" s="54"/>
    </row>
    <row r="135" spans="1:32">
      <c r="A135" s="144">
        <v>119</v>
      </c>
      <c r="B135" s="143" t="s">
        <v>16</v>
      </c>
      <c r="C135" s="34" t="s">
        <v>153</v>
      </c>
      <c r="D135" s="34" t="s">
        <v>91</v>
      </c>
      <c r="E135" s="34" t="s">
        <v>260</v>
      </c>
      <c r="F135" s="144">
        <v>120</v>
      </c>
      <c r="G135" s="134">
        <f>28622672.62+318856+1835037.4-318856</f>
        <v>30457710.02</v>
      </c>
      <c r="H135" s="134">
        <f>28622672.62+318856-318856</f>
        <v>28622672.620000001</v>
      </c>
      <c r="I135" s="157">
        <v>28622672.620000001</v>
      </c>
      <c r="M135" s="258"/>
      <c r="N135" s="258"/>
      <c r="O135" s="162"/>
      <c r="AE135" s="54"/>
      <c r="AF135" s="54"/>
    </row>
    <row r="136" spans="1:32">
      <c r="A136" s="144">
        <v>120</v>
      </c>
      <c r="B136" s="143" t="s">
        <v>20</v>
      </c>
      <c r="C136" s="34" t="s">
        <v>153</v>
      </c>
      <c r="D136" s="34" t="s">
        <v>91</v>
      </c>
      <c r="E136" s="34" t="s">
        <v>260</v>
      </c>
      <c r="F136" s="144">
        <v>200</v>
      </c>
      <c r="G136" s="134">
        <f t="shared" ref="G136:I136" si="61">G137</f>
        <v>5621000</v>
      </c>
      <c r="H136" s="134">
        <f t="shared" si="61"/>
        <v>6538000</v>
      </c>
      <c r="I136" s="29">
        <f t="shared" si="61"/>
        <v>6538000</v>
      </c>
      <c r="M136" s="258"/>
      <c r="N136" s="258"/>
      <c r="O136" s="162"/>
      <c r="AE136" s="54"/>
      <c r="AF136" s="54"/>
    </row>
    <row r="137" spans="1:32">
      <c r="A137" s="144">
        <v>121</v>
      </c>
      <c r="B137" s="143" t="s">
        <v>21</v>
      </c>
      <c r="C137" s="34" t="s">
        <v>153</v>
      </c>
      <c r="D137" s="34" t="s">
        <v>91</v>
      </c>
      <c r="E137" s="34" t="s">
        <v>260</v>
      </c>
      <c r="F137" s="144">
        <f>240</f>
        <v>240</v>
      </c>
      <c r="G137" s="134">
        <f>6538000-917000</f>
        <v>5621000</v>
      </c>
      <c r="H137" s="134">
        <v>6538000</v>
      </c>
      <c r="I137" s="157">
        <v>6538000</v>
      </c>
      <c r="J137" s="263"/>
      <c r="M137" s="258"/>
      <c r="N137" s="258"/>
      <c r="O137" s="162"/>
      <c r="AE137" s="54"/>
      <c r="AF137" s="54"/>
    </row>
    <row r="138" spans="1:32">
      <c r="A138" s="144">
        <v>122</v>
      </c>
      <c r="B138" s="143" t="s">
        <v>32</v>
      </c>
      <c r="C138" s="34" t="s">
        <v>153</v>
      </c>
      <c r="D138" s="34" t="s">
        <v>91</v>
      </c>
      <c r="E138" s="34" t="s">
        <v>260</v>
      </c>
      <c r="F138" s="144">
        <v>800</v>
      </c>
      <c r="G138" s="134">
        <f t="shared" ref="G138:I138" si="62">G139</f>
        <v>1741530</v>
      </c>
      <c r="H138" s="134">
        <f t="shared" si="62"/>
        <v>824530</v>
      </c>
      <c r="I138" s="29">
        <f t="shared" si="62"/>
        <v>824530</v>
      </c>
      <c r="M138" s="258"/>
      <c r="N138" s="258"/>
      <c r="O138" s="162"/>
      <c r="AE138" s="54"/>
      <c r="AF138" s="54"/>
    </row>
    <row r="139" spans="1:32">
      <c r="A139" s="144">
        <v>123</v>
      </c>
      <c r="B139" s="143" t="s">
        <v>80</v>
      </c>
      <c r="C139" s="34" t="s">
        <v>153</v>
      </c>
      <c r="D139" s="34" t="s">
        <v>91</v>
      </c>
      <c r="E139" s="34" t="s">
        <v>260</v>
      </c>
      <c r="F139" s="144">
        <v>850</v>
      </c>
      <c r="G139" s="134">
        <f>824530+917000</f>
        <v>1741530</v>
      </c>
      <c r="H139" s="134">
        <v>824530</v>
      </c>
      <c r="I139" s="157">
        <v>824530</v>
      </c>
      <c r="J139" s="263"/>
      <c r="M139" s="258"/>
      <c r="N139" s="258"/>
      <c r="O139" s="162"/>
      <c r="AE139" s="54"/>
      <c r="AF139" s="54"/>
    </row>
    <row r="140" spans="1:32" ht="45">
      <c r="A140" s="144">
        <v>124</v>
      </c>
      <c r="B140" s="307" t="s">
        <v>375</v>
      </c>
      <c r="C140" s="34" t="s">
        <v>153</v>
      </c>
      <c r="D140" s="34" t="s">
        <v>91</v>
      </c>
      <c r="E140" s="34" t="s">
        <v>374</v>
      </c>
      <c r="F140" s="144"/>
      <c r="G140" s="134">
        <f t="shared" ref="G140:I141" si="63">G141</f>
        <v>5005702.3500000006</v>
      </c>
      <c r="H140" s="134">
        <f t="shared" si="63"/>
        <v>4562761.95</v>
      </c>
      <c r="I140" s="29">
        <f t="shared" si="63"/>
        <v>4562761.95</v>
      </c>
      <c r="M140" s="258"/>
      <c r="N140" s="258"/>
      <c r="O140" s="162"/>
      <c r="AE140" s="54"/>
      <c r="AF140" s="54"/>
    </row>
    <row r="141" spans="1:32" ht="45">
      <c r="A141" s="144">
        <v>125</v>
      </c>
      <c r="B141" s="143" t="s">
        <v>15</v>
      </c>
      <c r="C141" s="34" t="s">
        <v>153</v>
      </c>
      <c r="D141" s="34" t="s">
        <v>91</v>
      </c>
      <c r="E141" s="34" t="s">
        <v>374</v>
      </c>
      <c r="F141" s="144">
        <v>100</v>
      </c>
      <c r="G141" s="134">
        <f t="shared" si="63"/>
        <v>5005702.3500000006</v>
      </c>
      <c r="H141" s="134">
        <f t="shared" si="63"/>
        <v>4562761.95</v>
      </c>
      <c r="I141" s="29">
        <f t="shared" si="63"/>
        <v>4562761.95</v>
      </c>
      <c r="M141" s="258"/>
      <c r="N141" s="258"/>
      <c r="O141" s="162"/>
      <c r="AE141" s="54"/>
      <c r="AF141" s="54"/>
    </row>
    <row r="142" spans="1:32">
      <c r="A142" s="144">
        <v>126</v>
      </c>
      <c r="B142" s="143" t="s">
        <v>16</v>
      </c>
      <c r="C142" s="34" t="s">
        <v>153</v>
      </c>
      <c r="D142" s="34" t="s">
        <v>91</v>
      </c>
      <c r="E142" s="34" t="s">
        <v>374</v>
      </c>
      <c r="F142" s="144">
        <v>120</v>
      </c>
      <c r="G142" s="134">
        <f>4562761.95+442940.4</f>
        <v>5005702.3500000006</v>
      </c>
      <c r="H142" s="134">
        <v>4562761.95</v>
      </c>
      <c r="I142" s="157">
        <v>4562761.95</v>
      </c>
      <c r="M142" s="258"/>
      <c r="N142" s="258"/>
      <c r="O142" s="162"/>
      <c r="AE142" s="54"/>
      <c r="AF142" s="54"/>
    </row>
    <row r="143" spans="1:32">
      <c r="A143" s="144">
        <v>127</v>
      </c>
      <c r="B143" s="305" t="s">
        <v>157</v>
      </c>
      <c r="C143" s="34" t="s">
        <v>153</v>
      </c>
      <c r="D143" s="34" t="s">
        <v>160</v>
      </c>
      <c r="E143" s="34"/>
      <c r="F143" s="144"/>
      <c r="G143" s="134">
        <f t="shared" ref="G143:I143" si="64">G144</f>
        <v>6000</v>
      </c>
      <c r="H143" s="134">
        <f t="shared" si="64"/>
        <v>6200</v>
      </c>
      <c r="I143" s="29">
        <f t="shared" si="64"/>
        <v>53900</v>
      </c>
      <c r="M143" s="258"/>
      <c r="N143" s="258"/>
      <c r="O143" s="162"/>
      <c r="AE143" s="54"/>
      <c r="AF143" s="54"/>
    </row>
    <row r="144" spans="1:32">
      <c r="A144" s="144">
        <v>128</v>
      </c>
      <c r="B144" s="307" t="s">
        <v>255</v>
      </c>
      <c r="C144" s="34" t="s">
        <v>153</v>
      </c>
      <c r="D144" s="34" t="s">
        <v>160</v>
      </c>
      <c r="E144" s="34">
        <v>8500000000</v>
      </c>
      <c r="F144" s="144"/>
      <c r="G144" s="134">
        <f t="shared" ref="G144:H144" si="65">G146</f>
        <v>6000</v>
      </c>
      <c r="H144" s="134">
        <f t="shared" si="65"/>
        <v>6200</v>
      </c>
      <c r="I144" s="29">
        <f t="shared" ref="I144" si="66">I146</f>
        <v>53900</v>
      </c>
      <c r="M144" s="258"/>
      <c r="N144" s="258"/>
      <c r="O144" s="162"/>
      <c r="AE144" s="54"/>
      <c r="AF144" s="54"/>
    </row>
    <row r="145" spans="1:32">
      <c r="A145" s="144">
        <v>129</v>
      </c>
      <c r="B145" s="307" t="s">
        <v>256</v>
      </c>
      <c r="C145" s="34" t="s">
        <v>153</v>
      </c>
      <c r="D145" s="34" t="s">
        <v>160</v>
      </c>
      <c r="E145" s="34">
        <v>8510000000</v>
      </c>
      <c r="F145" s="144"/>
      <c r="G145" s="134">
        <f t="shared" ref="G145:I147" si="67">G146</f>
        <v>6000</v>
      </c>
      <c r="H145" s="134">
        <f t="shared" si="67"/>
        <v>6200</v>
      </c>
      <c r="I145" s="29">
        <f t="shared" si="67"/>
        <v>53900</v>
      </c>
      <c r="M145" s="258"/>
      <c r="N145" s="258"/>
      <c r="O145" s="162"/>
      <c r="AE145" s="54"/>
      <c r="AF145" s="54"/>
    </row>
    <row r="146" spans="1:32" ht="45">
      <c r="A146" s="144">
        <v>130</v>
      </c>
      <c r="B146" s="307" t="s">
        <v>398</v>
      </c>
      <c r="C146" s="34" t="s">
        <v>153</v>
      </c>
      <c r="D146" s="34" t="s">
        <v>160</v>
      </c>
      <c r="E146" s="34" t="s">
        <v>532</v>
      </c>
      <c r="F146" s="144"/>
      <c r="G146" s="134">
        <f t="shared" si="67"/>
        <v>6000</v>
      </c>
      <c r="H146" s="134">
        <f t="shared" si="67"/>
        <v>6200</v>
      </c>
      <c r="I146" s="29">
        <f t="shared" si="67"/>
        <v>53900</v>
      </c>
      <c r="M146" s="258"/>
      <c r="N146" s="258"/>
      <c r="O146" s="162"/>
      <c r="AE146" s="54"/>
      <c r="AF146" s="54"/>
    </row>
    <row r="147" spans="1:32">
      <c r="A147" s="144">
        <v>131</v>
      </c>
      <c r="B147" s="143" t="s">
        <v>20</v>
      </c>
      <c r="C147" s="34" t="s">
        <v>153</v>
      </c>
      <c r="D147" s="34" t="s">
        <v>160</v>
      </c>
      <c r="E147" s="34">
        <v>8510051200</v>
      </c>
      <c r="F147" s="144">
        <v>200</v>
      </c>
      <c r="G147" s="134">
        <f t="shared" si="67"/>
        <v>6000</v>
      </c>
      <c r="H147" s="134">
        <f t="shared" si="67"/>
        <v>6200</v>
      </c>
      <c r="I147" s="29">
        <f t="shared" si="67"/>
        <v>53900</v>
      </c>
      <c r="M147" s="258"/>
      <c r="N147" s="258"/>
      <c r="O147" s="162"/>
      <c r="AE147" s="54"/>
      <c r="AF147" s="54"/>
    </row>
    <row r="148" spans="1:32">
      <c r="A148" s="144">
        <v>132</v>
      </c>
      <c r="B148" s="143" t="s">
        <v>21</v>
      </c>
      <c r="C148" s="34" t="s">
        <v>153</v>
      </c>
      <c r="D148" s="34" t="s">
        <v>160</v>
      </c>
      <c r="E148" s="34">
        <v>8510051200</v>
      </c>
      <c r="F148" s="144">
        <v>240</v>
      </c>
      <c r="G148" s="134">
        <f>600+5400</f>
        <v>6000</v>
      </c>
      <c r="H148" s="134">
        <f>500+5700</f>
        <v>6200</v>
      </c>
      <c r="I148" s="157">
        <v>53900</v>
      </c>
      <c r="M148" s="258"/>
      <c r="N148" s="258"/>
      <c r="O148" s="247"/>
      <c r="AE148" s="54"/>
      <c r="AF148" s="54"/>
    </row>
    <row r="149" spans="1:32">
      <c r="A149" s="144">
        <v>133</v>
      </c>
      <c r="B149" s="305" t="s">
        <v>31</v>
      </c>
      <c r="C149" s="34" t="s">
        <v>153</v>
      </c>
      <c r="D149" s="34" t="s">
        <v>93</v>
      </c>
      <c r="E149" s="34"/>
      <c r="F149" s="144"/>
      <c r="G149" s="134">
        <f t="shared" ref="G149:I149" si="68">G150</f>
        <v>4380000</v>
      </c>
      <c r="H149" s="134">
        <f t="shared" si="68"/>
        <v>150000</v>
      </c>
      <c r="I149" s="29">
        <f t="shared" si="68"/>
        <v>150000</v>
      </c>
      <c r="M149" s="258"/>
      <c r="N149" s="258"/>
      <c r="O149" s="162"/>
      <c r="AE149" s="54"/>
      <c r="AF149" s="54"/>
    </row>
    <row r="150" spans="1:32">
      <c r="A150" s="144">
        <v>134</v>
      </c>
      <c r="B150" s="307" t="s">
        <v>255</v>
      </c>
      <c r="C150" s="34" t="s">
        <v>153</v>
      </c>
      <c r="D150" s="34" t="s">
        <v>93</v>
      </c>
      <c r="E150" s="34">
        <v>8500000000</v>
      </c>
      <c r="F150" s="144"/>
      <c r="G150" s="134">
        <f t="shared" ref="G150:H150" si="69">G152</f>
        <v>4380000</v>
      </c>
      <c r="H150" s="134">
        <f t="shared" si="69"/>
        <v>150000</v>
      </c>
      <c r="I150" s="29">
        <f t="shared" ref="I150" si="70">I152</f>
        <v>150000</v>
      </c>
      <c r="M150" s="258"/>
      <c r="N150" s="258"/>
      <c r="O150" s="162"/>
      <c r="AE150" s="54"/>
      <c r="AF150" s="54"/>
    </row>
    <row r="151" spans="1:32">
      <c r="A151" s="144">
        <v>135</v>
      </c>
      <c r="B151" s="307" t="s">
        <v>256</v>
      </c>
      <c r="C151" s="34" t="s">
        <v>153</v>
      </c>
      <c r="D151" s="34" t="s">
        <v>93</v>
      </c>
      <c r="E151" s="34">
        <v>8510000000</v>
      </c>
      <c r="F151" s="144"/>
      <c r="G151" s="134">
        <f t="shared" ref="G151:I153" si="71">G152</f>
        <v>4380000</v>
      </c>
      <c r="H151" s="134">
        <f t="shared" si="71"/>
        <v>150000</v>
      </c>
      <c r="I151" s="29">
        <f t="shared" si="71"/>
        <v>150000</v>
      </c>
      <c r="M151" s="258"/>
      <c r="N151" s="258"/>
      <c r="O151" s="162"/>
      <c r="AE151" s="54"/>
      <c r="AF151" s="54"/>
    </row>
    <row r="152" spans="1:32">
      <c r="A152" s="144">
        <v>136</v>
      </c>
      <c r="B152" s="314" t="s">
        <v>34</v>
      </c>
      <c r="C152" s="34" t="s">
        <v>153</v>
      </c>
      <c r="D152" s="34" t="s">
        <v>93</v>
      </c>
      <c r="E152" s="34">
        <v>8510010110</v>
      </c>
      <c r="F152" s="144"/>
      <c r="G152" s="134">
        <f t="shared" si="71"/>
        <v>4380000</v>
      </c>
      <c r="H152" s="134">
        <f t="shared" si="71"/>
        <v>150000</v>
      </c>
      <c r="I152" s="29">
        <f t="shared" si="71"/>
        <v>150000</v>
      </c>
      <c r="M152" s="258"/>
      <c r="N152" s="258"/>
      <c r="O152" s="162"/>
      <c r="AE152" s="54"/>
      <c r="AF152" s="54"/>
    </row>
    <row r="153" spans="1:32">
      <c r="A153" s="144">
        <v>137</v>
      </c>
      <c r="B153" s="143" t="s">
        <v>32</v>
      </c>
      <c r="C153" s="34" t="s">
        <v>153</v>
      </c>
      <c r="D153" s="34" t="s">
        <v>93</v>
      </c>
      <c r="E153" s="34">
        <v>8510010110</v>
      </c>
      <c r="F153" s="144">
        <v>800</v>
      </c>
      <c r="G153" s="134">
        <f t="shared" si="71"/>
        <v>4380000</v>
      </c>
      <c r="H153" s="134">
        <f t="shared" si="71"/>
        <v>150000</v>
      </c>
      <c r="I153" s="29">
        <f t="shared" si="71"/>
        <v>150000</v>
      </c>
      <c r="M153" s="258"/>
      <c r="N153" s="258"/>
      <c r="O153" s="162"/>
      <c r="AE153" s="54"/>
      <c r="AF153" s="54"/>
    </row>
    <row r="154" spans="1:32">
      <c r="A154" s="144">
        <v>138</v>
      </c>
      <c r="B154" s="143" t="s">
        <v>33</v>
      </c>
      <c r="C154" s="34" t="s">
        <v>153</v>
      </c>
      <c r="D154" s="34" t="s">
        <v>93</v>
      </c>
      <c r="E154" s="34">
        <v>8510010110</v>
      </c>
      <c r="F154" s="144">
        <v>870</v>
      </c>
      <c r="G154" s="134">
        <f>150000+4230000</f>
        <v>4380000</v>
      </c>
      <c r="H154" s="134">
        <v>150000</v>
      </c>
      <c r="I154" s="157">
        <v>150000</v>
      </c>
      <c r="J154" s="276"/>
      <c r="M154" s="258"/>
      <c r="N154" s="258"/>
      <c r="O154" s="162"/>
      <c r="AE154" s="54"/>
      <c r="AF154" s="54"/>
    </row>
    <row r="155" spans="1:32">
      <c r="A155" s="144">
        <v>139</v>
      </c>
      <c r="B155" s="305" t="s">
        <v>35</v>
      </c>
      <c r="C155" s="34" t="s">
        <v>153</v>
      </c>
      <c r="D155" s="34" t="s">
        <v>94</v>
      </c>
      <c r="E155" s="34"/>
      <c r="F155" s="144"/>
      <c r="G155" s="134">
        <f>G156+G180</f>
        <v>9050533.4900000002</v>
      </c>
      <c r="H155" s="134">
        <f>H156+H180</f>
        <v>8643250</v>
      </c>
      <c r="I155" s="29">
        <f>I156+I180</f>
        <v>8643250</v>
      </c>
      <c r="M155" s="258"/>
      <c r="N155" s="258"/>
      <c r="O155" s="162"/>
      <c r="AE155" s="54"/>
      <c r="AF155" s="54"/>
    </row>
    <row r="156" spans="1:32">
      <c r="A156" s="144">
        <v>140</v>
      </c>
      <c r="B156" s="307" t="s">
        <v>255</v>
      </c>
      <c r="C156" s="34" t="s">
        <v>153</v>
      </c>
      <c r="D156" s="34" t="s">
        <v>94</v>
      </c>
      <c r="E156" s="34">
        <v>8500000000</v>
      </c>
      <c r="F156" s="144"/>
      <c r="G156" s="134">
        <f t="shared" ref="G156:I156" si="72">G157</f>
        <v>2409783.4900000002</v>
      </c>
      <c r="H156" s="134">
        <f t="shared" si="72"/>
        <v>2086900</v>
      </c>
      <c r="I156" s="29">
        <f t="shared" si="72"/>
        <v>2086900</v>
      </c>
      <c r="M156" s="258"/>
      <c r="N156" s="258"/>
      <c r="O156" s="162"/>
      <c r="AE156" s="54"/>
      <c r="AF156" s="54"/>
    </row>
    <row r="157" spans="1:32">
      <c r="A157" s="144">
        <v>141</v>
      </c>
      <c r="B157" s="307" t="s">
        <v>256</v>
      </c>
      <c r="C157" s="34" t="s">
        <v>153</v>
      </c>
      <c r="D157" s="34" t="s">
        <v>94</v>
      </c>
      <c r="E157" s="34">
        <v>8510000000</v>
      </c>
      <c r="F157" s="144"/>
      <c r="G157" s="134">
        <f>G158+G163+G168+G171+G174+G177</f>
        <v>2409783.4900000002</v>
      </c>
      <c r="H157" s="134">
        <f>H158+H163+H168+H171+H174+H177</f>
        <v>2086900</v>
      </c>
      <c r="I157" s="29">
        <f>I158+I163+I168+I171+I174+I177</f>
        <v>2086900</v>
      </c>
      <c r="M157" s="258"/>
      <c r="N157" s="258"/>
      <c r="O157" s="162"/>
      <c r="AE157" s="54"/>
      <c r="AF157" s="54"/>
    </row>
    <row r="158" spans="1:32" ht="45">
      <c r="A158" s="144">
        <v>142</v>
      </c>
      <c r="B158" s="313" t="s">
        <v>36</v>
      </c>
      <c r="C158" s="34" t="s">
        <v>153</v>
      </c>
      <c r="D158" s="34" t="s">
        <v>94</v>
      </c>
      <c r="E158" s="34" t="s">
        <v>531</v>
      </c>
      <c r="F158" s="144"/>
      <c r="G158" s="134">
        <f t="shared" ref="G158:H158" si="73">G159+G161</f>
        <v>64900</v>
      </c>
      <c r="H158" s="134">
        <f t="shared" si="73"/>
        <v>59800</v>
      </c>
      <c r="I158" s="29">
        <f t="shared" ref="I158" si="74">I159+I161</f>
        <v>59800</v>
      </c>
      <c r="M158" s="258"/>
      <c r="N158" s="258"/>
      <c r="O158" s="247"/>
      <c r="AE158" s="54"/>
      <c r="AF158" s="54"/>
    </row>
    <row r="159" spans="1:32" ht="45">
      <c r="A159" s="144">
        <v>143</v>
      </c>
      <c r="B159" s="143" t="s">
        <v>15</v>
      </c>
      <c r="C159" s="34" t="s">
        <v>153</v>
      </c>
      <c r="D159" s="34" t="s">
        <v>94</v>
      </c>
      <c r="E159" s="34">
        <v>8510074290</v>
      </c>
      <c r="F159" s="144">
        <v>100</v>
      </c>
      <c r="G159" s="134">
        <f t="shared" ref="G159:I159" si="75">G160</f>
        <v>62600</v>
      </c>
      <c r="H159" s="134">
        <f t="shared" si="75"/>
        <v>57500</v>
      </c>
      <c r="I159" s="29">
        <f t="shared" si="75"/>
        <v>57500</v>
      </c>
      <c r="M159" s="258"/>
      <c r="N159" s="258"/>
      <c r="O159" s="162"/>
      <c r="AE159" s="54"/>
      <c r="AF159" s="54"/>
    </row>
    <row r="160" spans="1:32">
      <c r="A160" s="144">
        <v>144</v>
      </c>
      <c r="B160" s="143" t="s">
        <v>16</v>
      </c>
      <c r="C160" s="34" t="s">
        <v>153</v>
      </c>
      <c r="D160" s="34" t="s">
        <v>94</v>
      </c>
      <c r="E160" s="34">
        <v>8510074290</v>
      </c>
      <c r="F160" s="144">
        <v>120</v>
      </c>
      <c r="G160" s="134">
        <f>57500+5100</f>
        <v>62600</v>
      </c>
      <c r="H160" s="134">
        <v>57500</v>
      </c>
      <c r="I160" s="157">
        <v>57500</v>
      </c>
      <c r="M160" s="258"/>
      <c r="N160" s="258"/>
      <c r="O160" s="162"/>
      <c r="AE160" s="54"/>
      <c r="AF160" s="54"/>
    </row>
    <row r="161" spans="1:32">
      <c r="A161" s="144">
        <v>145</v>
      </c>
      <c r="B161" s="143" t="s">
        <v>20</v>
      </c>
      <c r="C161" s="34" t="s">
        <v>153</v>
      </c>
      <c r="D161" s="34" t="s">
        <v>94</v>
      </c>
      <c r="E161" s="34">
        <v>8510074290</v>
      </c>
      <c r="F161" s="144">
        <v>200</v>
      </c>
      <c r="G161" s="134">
        <f t="shared" ref="G161:I161" si="76">G162</f>
        <v>2300</v>
      </c>
      <c r="H161" s="134">
        <f t="shared" si="76"/>
        <v>2300</v>
      </c>
      <c r="I161" s="29">
        <f t="shared" si="76"/>
        <v>2300</v>
      </c>
      <c r="M161" s="258"/>
      <c r="N161" s="258"/>
      <c r="O161" s="162"/>
      <c r="AE161" s="54"/>
      <c r="AF161" s="54"/>
    </row>
    <row r="162" spans="1:32">
      <c r="A162" s="144">
        <v>146</v>
      </c>
      <c r="B162" s="143" t="s">
        <v>21</v>
      </c>
      <c r="C162" s="34" t="s">
        <v>153</v>
      </c>
      <c r="D162" s="34" t="s">
        <v>94</v>
      </c>
      <c r="E162" s="34">
        <v>8510074290</v>
      </c>
      <c r="F162" s="144">
        <v>240</v>
      </c>
      <c r="G162" s="134">
        <v>2300</v>
      </c>
      <c r="H162" s="134">
        <v>2300</v>
      </c>
      <c r="I162" s="157">
        <v>2300</v>
      </c>
      <c r="M162" s="258"/>
      <c r="N162" s="258"/>
      <c r="O162" s="162"/>
      <c r="AE162" s="54"/>
      <c r="AF162" s="54"/>
    </row>
    <row r="163" spans="1:32" ht="30">
      <c r="A163" s="144">
        <v>147</v>
      </c>
      <c r="B163" s="306" t="s">
        <v>30</v>
      </c>
      <c r="C163" s="34" t="s">
        <v>153</v>
      </c>
      <c r="D163" s="34" t="s">
        <v>94</v>
      </c>
      <c r="E163" s="34">
        <v>8510076040</v>
      </c>
      <c r="F163" s="144"/>
      <c r="G163" s="134">
        <f t="shared" ref="G163:H163" si="77">G164+G166</f>
        <v>1111500</v>
      </c>
      <c r="H163" s="134">
        <f t="shared" si="77"/>
        <v>1027100</v>
      </c>
      <c r="I163" s="29">
        <f t="shared" ref="I163" si="78">I164+I166</f>
        <v>1027100</v>
      </c>
      <c r="M163" s="258"/>
      <c r="N163" s="258"/>
      <c r="O163" s="247"/>
      <c r="AE163" s="54"/>
      <c r="AF163" s="54"/>
    </row>
    <row r="164" spans="1:32" ht="45">
      <c r="A164" s="144">
        <v>148</v>
      </c>
      <c r="B164" s="143" t="s">
        <v>15</v>
      </c>
      <c r="C164" s="34" t="s">
        <v>153</v>
      </c>
      <c r="D164" s="34" t="s">
        <v>94</v>
      </c>
      <c r="E164" s="34">
        <v>8510076040</v>
      </c>
      <c r="F164" s="144">
        <v>100</v>
      </c>
      <c r="G164" s="134">
        <f t="shared" ref="G164:I164" si="79">G165</f>
        <v>1042738.06</v>
      </c>
      <c r="H164" s="134">
        <f t="shared" si="79"/>
        <v>958338.06</v>
      </c>
      <c r="I164" s="29">
        <f t="shared" si="79"/>
        <v>958338.06</v>
      </c>
      <c r="M164" s="258"/>
      <c r="N164" s="258"/>
      <c r="O164" s="162"/>
      <c r="AE164" s="54"/>
      <c r="AF164" s="54"/>
    </row>
    <row r="165" spans="1:32">
      <c r="A165" s="144">
        <v>149</v>
      </c>
      <c r="B165" s="143" t="s">
        <v>16</v>
      </c>
      <c r="C165" s="34" t="s">
        <v>153</v>
      </c>
      <c r="D165" s="34" t="s">
        <v>94</v>
      </c>
      <c r="E165" s="34">
        <v>8510076040</v>
      </c>
      <c r="F165" s="144">
        <v>120</v>
      </c>
      <c r="G165" s="134">
        <f>958338.06+84400</f>
        <v>1042738.06</v>
      </c>
      <c r="H165" s="134">
        <v>958338.06</v>
      </c>
      <c r="I165" s="157">
        <v>958338.06</v>
      </c>
      <c r="M165" s="258"/>
      <c r="N165" s="258"/>
      <c r="O165" s="162"/>
      <c r="AE165" s="54"/>
      <c r="AF165" s="54"/>
    </row>
    <row r="166" spans="1:32">
      <c r="A166" s="144">
        <v>150</v>
      </c>
      <c r="B166" s="143" t="s">
        <v>20</v>
      </c>
      <c r="C166" s="34" t="s">
        <v>153</v>
      </c>
      <c r="D166" s="34" t="s">
        <v>94</v>
      </c>
      <c r="E166" s="34">
        <v>8510076040</v>
      </c>
      <c r="F166" s="144">
        <v>200</v>
      </c>
      <c r="G166" s="134">
        <f t="shared" ref="G166:I166" si="80">G167</f>
        <v>68761.94</v>
      </c>
      <c r="H166" s="134">
        <f t="shared" si="80"/>
        <v>68761.94</v>
      </c>
      <c r="I166" s="29">
        <f t="shared" si="80"/>
        <v>68761.94</v>
      </c>
      <c r="M166" s="258"/>
      <c r="N166" s="258"/>
      <c r="O166" s="162"/>
      <c r="AE166" s="54"/>
      <c r="AF166" s="54"/>
    </row>
    <row r="167" spans="1:32">
      <c r="A167" s="144">
        <v>151</v>
      </c>
      <c r="B167" s="143" t="s">
        <v>21</v>
      </c>
      <c r="C167" s="34" t="s">
        <v>153</v>
      </c>
      <c r="D167" s="34" t="s">
        <v>94</v>
      </c>
      <c r="E167" s="34">
        <v>8510076040</v>
      </c>
      <c r="F167" s="144">
        <v>240</v>
      </c>
      <c r="G167" s="134">
        <v>68761.94</v>
      </c>
      <c r="H167" s="134">
        <v>68761.94</v>
      </c>
      <c r="I167" s="157">
        <v>68761.94</v>
      </c>
      <c r="M167" s="258"/>
      <c r="N167" s="258"/>
      <c r="O167" s="162"/>
      <c r="AE167" s="54"/>
      <c r="AF167" s="54"/>
    </row>
    <row r="168" spans="1:32" ht="45">
      <c r="A168" s="144">
        <v>152</v>
      </c>
      <c r="B168" s="306" t="s">
        <v>37</v>
      </c>
      <c r="C168" s="34" t="s">
        <v>153</v>
      </c>
      <c r="D168" s="34" t="s">
        <v>94</v>
      </c>
      <c r="E168" s="34">
        <v>8510092020</v>
      </c>
      <c r="F168" s="144"/>
      <c r="G168" s="134">
        <f>G169</f>
        <v>500000</v>
      </c>
      <c r="H168" s="134">
        <f t="shared" ref="H168:I168" si="81">H169</f>
        <v>500000</v>
      </c>
      <c r="I168" s="29">
        <f t="shared" si="81"/>
        <v>500000</v>
      </c>
      <c r="M168" s="258"/>
      <c r="N168" s="258"/>
      <c r="O168" s="162"/>
      <c r="AE168" s="54"/>
      <c r="AF168" s="54"/>
    </row>
    <row r="169" spans="1:32">
      <c r="A169" s="144">
        <v>153</v>
      </c>
      <c r="B169" s="143" t="s">
        <v>32</v>
      </c>
      <c r="C169" s="34" t="s">
        <v>153</v>
      </c>
      <c r="D169" s="34" t="s">
        <v>94</v>
      </c>
      <c r="E169" s="34">
        <v>8510092020</v>
      </c>
      <c r="F169" s="144">
        <v>800</v>
      </c>
      <c r="G169" s="134">
        <f t="shared" ref="G169:I169" si="82">G170</f>
        <v>500000</v>
      </c>
      <c r="H169" s="134">
        <f t="shared" si="82"/>
        <v>500000</v>
      </c>
      <c r="I169" s="29">
        <f t="shared" si="82"/>
        <v>500000</v>
      </c>
      <c r="M169" s="258"/>
      <c r="N169" s="258"/>
      <c r="O169" s="162"/>
      <c r="AE169" s="54"/>
      <c r="AF169" s="54"/>
    </row>
    <row r="170" spans="1:32">
      <c r="A170" s="144">
        <v>154</v>
      </c>
      <c r="B170" s="308" t="s">
        <v>38</v>
      </c>
      <c r="C170" s="34" t="s">
        <v>153</v>
      </c>
      <c r="D170" s="34" t="s">
        <v>94</v>
      </c>
      <c r="E170" s="34">
        <v>8510092020</v>
      </c>
      <c r="F170" s="144">
        <v>830</v>
      </c>
      <c r="G170" s="134">
        <v>500000</v>
      </c>
      <c r="H170" s="134">
        <v>500000</v>
      </c>
      <c r="I170" s="157">
        <v>500000</v>
      </c>
      <c r="M170" s="258"/>
      <c r="N170" s="258"/>
      <c r="O170" s="162"/>
      <c r="AE170" s="54"/>
      <c r="AF170" s="54"/>
    </row>
    <row r="171" spans="1:32" ht="30">
      <c r="A171" s="144">
        <v>155</v>
      </c>
      <c r="B171" s="306" t="s">
        <v>244</v>
      </c>
      <c r="C171" s="34" t="s">
        <v>153</v>
      </c>
      <c r="D171" s="34" t="s">
        <v>94</v>
      </c>
      <c r="E171" s="34" t="s">
        <v>263</v>
      </c>
      <c r="F171" s="144"/>
      <c r="G171" s="134">
        <f t="shared" ref="G171:I172" si="83">G172</f>
        <v>197662.97</v>
      </c>
      <c r="H171" s="134">
        <f t="shared" si="83"/>
        <v>0</v>
      </c>
      <c r="I171" s="29">
        <f t="shared" si="83"/>
        <v>0</v>
      </c>
      <c r="M171" s="258"/>
      <c r="N171" s="258"/>
      <c r="O171" s="162"/>
      <c r="AE171" s="54"/>
      <c r="AF171" s="54"/>
    </row>
    <row r="172" spans="1:32">
      <c r="A172" s="144">
        <v>156</v>
      </c>
      <c r="B172" s="143" t="s">
        <v>20</v>
      </c>
      <c r="C172" s="34" t="s">
        <v>153</v>
      </c>
      <c r="D172" s="34" t="s">
        <v>94</v>
      </c>
      <c r="E172" s="34" t="s">
        <v>263</v>
      </c>
      <c r="F172" s="144">
        <v>200</v>
      </c>
      <c r="G172" s="134">
        <f t="shared" si="83"/>
        <v>197662.97</v>
      </c>
      <c r="H172" s="134">
        <f t="shared" si="83"/>
        <v>0</v>
      </c>
      <c r="I172" s="29">
        <f t="shared" si="83"/>
        <v>0</v>
      </c>
      <c r="M172" s="258"/>
      <c r="N172" s="258"/>
      <c r="O172" s="162"/>
      <c r="AE172" s="54"/>
      <c r="AF172" s="54"/>
    </row>
    <row r="173" spans="1:32">
      <c r="A173" s="144">
        <v>157</v>
      </c>
      <c r="B173" s="143" t="s">
        <v>21</v>
      </c>
      <c r="C173" s="34" t="s">
        <v>153</v>
      </c>
      <c r="D173" s="34" t="s">
        <v>94</v>
      </c>
      <c r="E173" s="34" t="s">
        <v>263</v>
      </c>
      <c r="F173" s="144">
        <v>240</v>
      </c>
      <c r="G173" s="134">
        <f>30000+167662.97</f>
        <v>197662.97</v>
      </c>
      <c r="H173" s="134">
        <v>0</v>
      </c>
      <c r="I173" s="157">
        <v>0</v>
      </c>
      <c r="J173" s="246"/>
      <c r="M173" s="258"/>
      <c r="N173" s="258"/>
      <c r="O173" s="162"/>
      <c r="AE173" s="54"/>
      <c r="AF173" s="54"/>
    </row>
    <row r="174" spans="1:32" s="54" customFormat="1">
      <c r="A174" s="144">
        <v>158</v>
      </c>
      <c r="B174" s="307" t="s">
        <v>404</v>
      </c>
      <c r="C174" s="34" t="s">
        <v>153</v>
      </c>
      <c r="D174" s="34" t="s">
        <v>94</v>
      </c>
      <c r="E174" s="34">
        <v>8510084570</v>
      </c>
      <c r="F174" s="144"/>
      <c r="G174" s="134">
        <f t="shared" ref="G174:I175" si="84">G175</f>
        <v>35720.519999999997</v>
      </c>
      <c r="H174" s="134">
        <f t="shared" si="84"/>
        <v>0</v>
      </c>
      <c r="I174" s="29">
        <f t="shared" si="84"/>
        <v>0</v>
      </c>
      <c r="M174" s="258"/>
      <c r="N174" s="258"/>
      <c r="O174" s="162"/>
    </row>
    <row r="175" spans="1:32" s="54" customFormat="1">
      <c r="A175" s="144">
        <v>159</v>
      </c>
      <c r="B175" s="143" t="s">
        <v>20</v>
      </c>
      <c r="C175" s="34" t="s">
        <v>153</v>
      </c>
      <c r="D175" s="34" t="s">
        <v>94</v>
      </c>
      <c r="E175" s="34">
        <v>8510084570</v>
      </c>
      <c r="F175" s="144">
        <v>200</v>
      </c>
      <c r="G175" s="134">
        <f t="shared" si="84"/>
        <v>35720.519999999997</v>
      </c>
      <c r="H175" s="134">
        <f t="shared" si="84"/>
        <v>0</v>
      </c>
      <c r="I175" s="29">
        <f t="shared" si="84"/>
        <v>0</v>
      </c>
      <c r="M175" s="258"/>
      <c r="N175" s="258"/>
      <c r="O175" s="162"/>
    </row>
    <row r="176" spans="1:32" s="54" customFormat="1">
      <c r="A176" s="144">
        <v>160</v>
      </c>
      <c r="B176" s="143" t="s">
        <v>21</v>
      </c>
      <c r="C176" s="34" t="s">
        <v>153</v>
      </c>
      <c r="D176" s="34" t="s">
        <v>94</v>
      </c>
      <c r="E176" s="34">
        <v>8510084570</v>
      </c>
      <c r="F176" s="144">
        <v>240</v>
      </c>
      <c r="G176" s="134">
        <v>35720.519999999997</v>
      </c>
      <c r="H176" s="134">
        <v>0</v>
      </c>
      <c r="I176" s="157">
        <v>0</v>
      </c>
      <c r="M176" s="258"/>
      <c r="N176" s="258"/>
      <c r="O176" s="162"/>
    </row>
    <row r="177" spans="1:32" s="54" customFormat="1" ht="30">
      <c r="A177" s="144">
        <v>161</v>
      </c>
      <c r="B177" s="307" t="s">
        <v>423</v>
      </c>
      <c r="C177" s="34" t="s">
        <v>153</v>
      </c>
      <c r="D177" s="34" t="s">
        <v>94</v>
      </c>
      <c r="E177" s="34">
        <v>8510084580</v>
      </c>
      <c r="F177" s="144"/>
      <c r="G177" s="134">
        <f t="shared" ref="G177:I178" si="85">G178</f>
        <v>500000</v>
      </c>
      <c r="H177" s="134">
        <f t="shared" si="85"/>
        <v>500000</v>
      </c>
      <c r="I177" s="29">
        <f t="shared" si="85"/>
        <v>500000</v>
      </c>
      <c r="M177" s="258"/>
      <c r="N177" s="258"/>
      <c r="O177" s="162"/>
    </row>
    <row r="178" spans="1:32" s="54" customFormat="1">
      <c r="A178" s="144">
        <v>162</v>
      </c>
      <c r="B178" s="143" t="s">
        <v>20</v>
      </c>
      <c r="C178" s="34" t="s">
        <v>153</v>
      </c>
      <c r="D178" s="34" t="s">
        <v>94</v>
      </c>
      <c r="E178" s="34">
        <v>8510084580</v>
      </c>
      <c r="F178" s="144">
        <v>200</v>
      </c>
      <c r="G178" s="134">
        <f t="shared" si="85"/>
        <v>500000</v>
      </c>
      <c r="H178" s="134">
        <f t="shared" si="85"/>
        <v>500000</v>
      </c>
      <c r="I178" s="29">
        <f t="shared" si="85"/>
        <v>500000</v>
      </c>
      <c r="M178" s="258"/>
      <c r="N178" s="258"/>
      <c r="O178" s="162"/>
    </row>
    <row r="179" spans="1:32" s="54" customFormat="1">
      <c r="A179" s="144">
        <v>163</v>
      </c>
      <c r="B179" s="143" t="s">
        <v>21</v>
      </c>
      <c r="C179" s="34" t="s">
        <v>153</v>
      </c>
      <c r="D179" s="34" t="s">
        <v>94</v>
      </c>
      <c r="E179" s="34">
        <v>8510084580</v>
      </c>
      <c r="F179" s="144">
        <v>240</v>
      </c>
      <c r="G179" s="134">
        <v>500000</v>
      </c>
      <c r="H179" s="134">
        <v>500000</v>
      </c>
      <c r="I179" s="157">
        <v>500000</v>
      </c>
      <c r="M179" s="258"/>
      <c r="N179" s="258"/>
      <c r="O179" s="162"/>
    </row>
    <row r="180" spans="1:32" ht="30">
      <c r="A180" s="144">
        <v>164</v>
      </c>
      <c r="B180" s="310" t="s">
        <v>264</v>
      </c>
      <c r="C180" s="34" t="s">
        <v>153</v>
      </c>
      <c r="D180" s="34" t="s">
        <v>94</v>
      </c>
      <c r="E180" s="34">
        <v>1100000000</v>
      </c>
      <c r="F180" s="144"/>
      <c r="G180" s="134">
        <f t="shared" ref="G180:H180" si="86">G185+G181</f>
        <v>6640750</v>
      </c>
      <c r="H180" s="134">
        <f t="shared" si="86"/>
        <v>6556350</v>
      </c>
      <c r="I180" s="29">
        <f t="shared" ref="I180" si="87">I185+I181</f>
        <v>6556350</v>
      </c>
      <c r="M180" s="258"/>
      <c r="N180" s="258"/>
      <c r="O180" s="162"/>
      <c r="AE180" s="54"/>
      <c r="AF180" s="54"/>
    </row>
    <row r="181" spans="1:32" ht="61.5" customHeight="1">
      <c r="A181" s="144">
        <v>165</v>
      </c>
      <c r="B181" s="306" t="s">
        <v>483</v>
      </c>
      <c r="C181" s="34" t="s">
        <v>153</v>
      </c>
      <c r="D181" s="34" t="s">
        <v>94</v>
      </c>
      <c r="E181" s="34">
        <v>1140000000</v>
      </c>
      <c r="F181" s="144"/>
      <c r="G181" s="134">
        <f t="shared" ref="G181:I183" si="88">G182</f>
        <v>5541250</v>
      </c>
      <c r="H181" s="134">
        <f t="shared" si="88"/>
        <v>5541250</v>
      </c>
      <c r="I181" s="29">
        <f t="shared" si="88"/>
        <v>5541250</v>
      </c>
      <c r="M181" s="258"/>
      <c r="N181" s="258"/>
      <c r="O181" s="162"/>
      <c r="AE181" s="54"/>
      <c r="AF181" s="54"/>
    </row>
    <row r="182" spans="1:32" ht="60">
      <c r="A182" s="144">
        <v>166</v>
      </c>
      <c r="B182" s="143" t="s">
        <v>422</v>
      </c>
      <c r="C182" s="34" t="s">
        <v>153</v>
      </c>
      <c r="D182" s="34" t="s">
        <v>94</v>
      </c>
      <c r="E182" s="34">
        <v>1140092040</v>
      </c>
      <c r="F182" s="144"/>
      <c r="G182" s="134">
        <f t="shared" si="88"/>
        <v>5541250</v>
      </c>
      <c r="H182" s="134">
        <f t="shared" si="88"/>
        <v>5541250</v>
      </c>
      <c r="I182" s="29">
        <f t="shared" si="88"/>
        <v>5541250</v>
      </c>
      <c r="M182" s="258"/>
      <c r="N182" s="258"/>
      <c r="O182" s="162"/>
      <c r="AE182" s="54"/>
      <c r="AF182" s="54"/>
    </row>
    <row r="183" spans="1:32">
      <c r="A183" s="144">
        <v>167</v>
      </c>
      <c r="B183" s="143" t="s">
        <v>20</v>
      </c>
      <c r="C183" s="34" t="s">
        <v>153</v>
      </c>
      <c r="D183" s="34" t="s">
        <v>94</v>
      </c>
      <c r="E183" s="34">
        <v>1140092040</v>
      </c>
      <c r="F183" s="144">
        <v>200</v>
      </c>
      <c r="G183" s="134">
        <f t="shared" si="88"/>
        <v>5541250</v>
      </c>
      <c r="H183" s="134">
        <f t="shared" si="88"/>
        <v>5541250</v>
      </c>
      <c r="I183" s="29">
        <f t="shared" si="88"/>
        <v>5541250</v>
      </c>
      <c r="M183" s="258"/>
      <c r="N183" s="258"/>
      <c r="O183" s="162"/>
      <c r="AE183" s="54"/>
      <c r="AF183" s="54"/>
    </row>
    <row r="184" spans="1:32">
      <c r="A184" s="144">
        <v>168</v>
      </c>
      <c r="B184" s="143" t="s">
        <v>21</v>
      </c>
      <c r="C184" s="34" t="s">
        <v>153</v>
      </c>
      <c r="D184" s="34" t="s">
        <v>94</v>
      </c>
      <c r="E184" s="34">
        <v>1140092040</v>
      </c>
      <c r="F184" s="144">
        <v>240</v>
      </c>
      <c r="G184" s="134">
        <v>5541250</v>
      </c>
      <c r="H184" s="134">
        <v>5541250</v>
      </c>
      <c r="I184" s="157">
        <v>5541250</v>
      </c>
      <c r="M184" s="258"/>
      <c r="N184" s="258"/>
      <c r="O184" s="162"/>
      <c r="AE184" s="54"/>
      <c r="AF184" s="54"/>
    </row>
    <row r="185" spans="1:32">
      <c r="A185" s="144">
        <v>169</v>
      </c>
      <c r="B185" s="310" t="s">
        <v>39</v>
      </c>
      <c r="C185" s="34" t="s">
        <v>153</v>
      </c>
      <c r="D185" s="34" t="s">
        <v>94</v>
      </c>
      <c r="E185" s="34">
        <v>1190000000</v>
      </c>
      <c r="F185" s="144"/>
      <c r="G185" s="134">
        <f t="shared" ref="G185:I185" si="89">G186</f>
        <v>1099500</v>
      </c>
      <c r="H185" s="134">
        <f t="shared" si="89"/>
        <v>1015100</v>
      </c>
      <c r="I185" s="29">
        <f t="shared" si="89"/>
        <v>1015100</v>
      </c>
      <c r="M185" s="258"/>
      <c r="N185" s="258"/>
      <c r="O185" s="162"/>
      <c r="AE185" s="54"/>
      <c r="AF185" s="54"/>
    </row>
    <row r="186" spans="1:32" ht="30">
      <c r="A186" s="144">
        <v>170</v>
      </c>
      <c r="B186" s="306" t="s">
        <v>265</v>
      </c>
      <c r="C186" s="34" t="s">
        <v>153</v>
      </c>
      <c r="D186" s="34" t="s">
        <v>94</v>
      </c>
      <c r="E186" s="34">
        <v>1190074670</v>
      </c>
      <c r="F186" s="144"/>
      <c r="G186" s="134">
        <f t="shared" ref="G186:H186" si="90">G187+G189</f>
        <v>1099500</v>
      </c>
      <c r="H186" s="134">
        <f t="shared" si="90"/>
        <v>1015100</v>
      </c>
      <c r="I186" s="29">
        <f t="shared" ref="I186" si="91">I187+I189</f>
        <v>1015100</v>
      </c>
      <c r="M186" s="258"/>
      <c r="N186" s="258"/>
      <c r="O186" s="247"/>
      <c r="AE186" s="54"/>
      <c r="AF186" s="54"/>
    </row>
    <row r="187" spans="1:32" ht="45">
      <c r="A187" s="144">
        <v>171</v>
      </c>
      <c r="B187" s="143" t="s">
        <v>15</v>
      </c>
      <c r="C187" s="34" t="s">
        <v>153</v>
      </c>
      <c r="D187" s="34" t="s">
        <v>94</v>
      </c>
      <c r="E187" s="34">
        <v>1190074670</v>
      </c>
      <c r="F187" s="144">
        <v>100</v>
      </c>
      <c r="G187" s="134">
        <f t="shared" ref="G187:I187" si="92">G188</f>
        <v>1067738.06</v>
      </c>
      <c r="H187" s="134">
        <f t="shared" si="92"/>
        <v>958338.06</v>
      </c>
      <c r="I187" s="29">
        <f t="shared" si="92"/>
        <v>958338.06</v>
      </c>
      <c r="M187" s="258"/>
      <c r="N187" s="258"/>
      <c r="O187" s="162"/>
      <c r="AE187" s="54"/>
      <c r="AF187" s="54"/>
    </row>
    <row r="188" spans="1:32">
      <c r="A188" s="144">
        <v>172</v>
      </c>
      <c r="B188" s="143" t="s">
        <v>16</v>
      </c>
      <c r="C188" s="34" t="s">
        <v>153</v>
      </c>
      <c r="D188" s="34" t="s">
        <v>94</v>
      </c>
      <c r="E188" s="34">
        <v>1190074670</v>
      </c>
      <c r="F188" s="144">
        <v>120</v>
      </c>
      <c r="G188" s="134">
        <f>958338.06+84400+25000</f>
        <v>1067738.06</v>
      </c>
      <c r="H188" s="134">
        <v>958338.06</v>
      </c>
      <c r="I188" s="157">
        <v>958338.06</v>
      </c>
      <c r="J188" s="246"/>
      <c r="M188" s="258"/>
      <c r="N188" s="258"/>
      <c r="O188" s="162"/>
      <c r="AE188" s="54"/>
      <c r="AF188" s="54"/>
    </row>
    <row r="189" spans="1:32">
      <c r="A189" s="144">
        <v>173</v>
      </c>
      <c r="B189" s="143" t="s">
        <v>20</v>
      </c>
      <c r="C189" s="34" t="s">
        <v>153</v>
      </c>
      <c r="D189" s="34" t="s">
        <v>94</v>
      </c>
      <c r="E189" s="34">
        <v>1190074670</v>
      </c>
      <c r="F189" s="144">
        <v>200</v>
      </c>
      <c r="G189" s="134">
        <f t="shared" ref="G189:I189" si="93">G190</f>
        <v>31761.940000000002</v>
      </c>
      <c r="H189" s="134">
        <f t="shared" si="93"/>
        <v>56761.94</v>
      </c>
      <c r="I189" s="29">
        <f t="shared" si="93"/>
        <v>56761.94</v>
      </c>
      <c r="M189" s="258"/>
      <c r="N189" s="258"/>
      <c r="O189" s="162"/>
      <c r="AE189" s="54"/>
      <c r="AF189" s="54"/>
    </row>
    <row r="190" spans="1:32">
      <c r="A190" s="144">
        <v>174</v>
      </c>
      <c r="B190" s="143" t="s">
        <v>21</v>
      </c>
      <c r="C190" s="34" t="s">
        <v>153</v>
      </c>
      <c r="D190" s="34" t="s">
        <v>94</v>
      </c>
      <c r="E190" s="34">
        <v>1190074670</v>
      </c>
      <c r="F190" s="144">
        <v>240</v>
      </c>
      <c r="G190" s="134">
        <f>56761.94-25000</f>
        <v>31761.940000000002</v>
      </c>
      <c r="H190" s="134">
        <v>56761.94</v>
      </c>
      <c r="I190" s="157">
        <v>56761.94</v>
      </c>
      <c r="J190" s="246"/>
      <c r="M190" s="258"/>
      <c r="N190" s="258"/>
      <c r="O190" s="162"/>
      <c r="AE190" s="54"/>
      <c r="AF190" s="54"/>
    </row>
    <row r="191" spans="1:32">
      <c r="A191" s="144">
        <v>175</v>
      </c>
      <c r="B191" s="143" t="s">
        <v>98</v>
      </c>
      <c r="C191" s="34" t="s">
        <v>153</v>
      </c>
      <c r="D191" s="34" t="s">
        <v>99</v>
      </c>
      <c r="E191" s="34"/>
      <c r="F191" s="144"/>
      <c r="G191" s="134">
        <f t="shared" ref="G191:G192" si="94">G192</f>
        <v>300000</v>
      </c>
      <c r="H191" s="134">
        <f t="shared" ref="H191:I192" si="95">H192</f>
        <v>300000</v>
      </c>
      <c r="I191" s="29">
        <f t="shared" si="95"/>
        <v>255000</v>
      </c>
      <c r="M191" s="258"/>
      <c r="N191" s="258"/>
      <c r="O191" s="162"/>
      <c r="AE191" s="54"/>
      <c r="AF191" s="54"/>
    </row>
    <row r="192" spans="1:32" ht="38.25" customHeight="1">
      <c r="A192" s="144">
        <v>176</v>
      </c>
      <c r="B192" s="143" t="s">
        <v>434</v>
      </c>
      <c r="C192" s="34" t="s">
        <v>153</v>
      </c>
      <c r="D192" s="34" t="s">
        <v>379</v>
      </c>
      <c r="E192" s="34"/>
      <c r="F192" s="144"/>
      <c r="G192" s="134">
        <f t="shared" si="94"/>
        <v>300000</v>
      </c>
      <c r="H192" s="134">
        <f t="shared" si="95"/>
        <v>300000</v>
      </c>
      <c r="I192" s="29">
        <f t="shared" si="95"/>
        <v>255000</v>
      </c>
      <c r="M192" s="258"/>
      <c r="N192" s="258"/>
      <c r="O192" s="162"/>
      <c r="AE192" s="54"/>
      <c r="AF192" s="54"/>
    </row>
    <row r="193" spans="1:32" ht="31.5" customHeight="1">
      <c r="A193" s="144">
        <v>177</v>
      </c>
      <c r="B193" s="143" t="s">
        <v>148</v>
      </c>
      <c r="C193" s="34" t="s">
        <v>153</v>
      </c>
      <c r="D193" s="34" t="s">
        <v>379</v>
      </c>
      <c r="E193" s="34" t="s">
        <v>187</v>
      </c>
      <c r="F193" s="144"/>
      <c r="G193" s="134">
        <f>G194+G201</f>
        <v>300000</v>
      </c>
      <c r="H193" s="134">
        <f>H194+H201</f>
        <v>300000</v>
      </c>
      <c r="I193" s="29">
        <f>I194+I201</f>
        <v>255000</v>
      </c>
      <c r="M193" s="258"/>
      <c r="N193" s="258"/>
      <c r="O193" s="162"/>
      <c r="AE193" s="54"/>
      <c r="AF193" s="54"/>
    </row>
    <row r="194" spans="1:32" ht="31.5" customHeight="1">
      <c r="A194" s="144">
        <v>178</v>
      </c>
      <c r="B194" s="315" t="s">
        <v>294</v>
      </c>
      <c r="C194" s="34" t="s">
        <v>153</v>
      </c>
      <c r="D194" s="34" t="s">
        <v>379</v>
      </c>
      <c r="E194" s="34" t="s">
        <v>188</v>
      </c>
      <c r="F194" s="144"/>
      <c r="G194" s="134">
        <f>G195+G198</f>
        <v>190000</v>
      </c>
      <c r="H194" s="134">
        <f t="shared" ref="H194:I194" si="96">H195+H198</f>
        <v>190000</v>
      </c>
      <c r="I194" s="29">
        <f t="shared" si="96"/>
        <v>190000</v>
      </c>
      <c r="M194" s="258"/>
      <c r="N194" s="258"/>
      <c r="O194" s="162"/>
      <c r="AE194" s="54"/>
      <c r="AF194" s="54"/>
    </row>
    <row r="195" spans="1:32" ht="87" customHeight="1">
      <c r="A195" s="144">
        <v>179</v>
      </c>
      <c r="B195" s="143" t="s">
        <v>595</v>
      </c>
      <c r="C195" s="34" t="s">
        <v>153</v>
      </c>
      <c r="D195" s="34" t="s">
        <v>379</v>
      </c>
      <c r="E195" s="34" t="s">
        <v>439</v>
      </c>
      <c r="F195" s="144"/>
      <c r="G195" s="134">
        <f t="shared" ref="G195:G196" si="97">G196</f>
        <v>189500</v>
      </c>
      <c r="H195" s="134">
        <f t="shared" ref="H195:I196" si="98">H196</f>
        <v>190000</v>
      </c>
      <c r="I195" s="29">
        <f t="shared" si="98"/>
        <v>190000</v>
      </c>
      <c r="M195" s="258"/>
      <c r="N195" s="258"/>
      <c r="O195" s="162"/>
      <c r="AE195" s="54"/>
      <c r="AF195" s="54"/>
    </row>
    <row r="196" spans="1:32" ht="23.25" customHeight="1">
      <c r="A196" s="144">
        <v>180</v>
      </c>
      <c r="B196" s="143" t="s">
        <v>20</v>
      </c>
      <c r="C196" s="34" t="s">
        <v>153</v>
      </c>
      <c r="D196" s="34" t="s">
        <v>379</v>
      </c>
      <c r="E196" s="34" t="s">
        <v>439</v>
      </c>
      <c r="F196" s="144">
        <v>200</v>
      </c>
      <c r="G196" s="134">
        <f t="shared" si="97"/>
        <v>189500</v>
      </c>
      <c r="H196" s="134">
        <f t="shared" si="98"/>
        <v>190000</v>
      </c>
      <c r="I196" s="29">
        <f t="shared" si="98"/>
        <v>190000</v>
      </c>
      <c r="M196" s="258"/>
      <c r="N196" s="258"/>
      <c r="O196" s="162"/>
      <c r="AE196" s="54"/>
      <c r="AF196" s="54"/>
    </row>
    <row r="197" spans="1:32" ht="23.25" customHeight="1">
      <c r="A197" s="144">
        <v>181</v>
      </c>
      <c r="B197" s="143" t="s">
        <v>21</v>
      </c>
      <c r="C197" s="34" t="s">
        <v>153</v>
      </c>
      <c r="D197" s="34" t="s">
        <v>379</v>
      </c>
      <c r="E197" s="34" t="s">
        <v>439</v>
      </c>
      <c r="F197" s="144">
        <v>240</v>
      </c>
      <c r="G197" s="134">
        <f>190000-500</f>
        <v>189500</v>
      </c>
      <c r="H197" s="134">
        <v>190000</v>
      </c>
      <c r="I197" s="157">
        <v>190000</v>
      </c>
      <c r="J197" s="276"/>
      <c r="M197" s="258"/>
      <c r="N197" s="258"/>
      <c r="O197" s="162"/>
      <c r="AE197" s="54"/>
      <c r="AF197" s="54"/>
    </row>
    <row r="198" spans="1:32" ht="81.75" customHeight="1">
      <c r="A198" s="144">
        <v>182</v>
      </c>
      <c r="B198" s="334" t="s">
        <v>594</v>
      </c>
      <c r="C198" s="34" t="s">
        <v>153</v>
      </c>
      <c r="D198" s="34" t="s">
        <v>379</v>
      </c>
      <c r="E198" s="34" t="s">
        <v>593</v>
      </c>
      <c r="F198" s="144"/>
      <c r="G198" s="134">
        <f>G199</f>
        <v>500</v>
      </c>
      <c r="H198" s="134">
        <f t="shared" ref="H198:I198" si="99">H199</f>
        <v>0</v>
      </c>
      <c r="I198" s="29">
        <f t="shared" si="99"/>
        <v>0</v>
      </c>
      <c r="J198" s="256"/>
      <c r="M198" s="258"/>
      <c r="N198" s="258"/>
      <c r="O198" s="162"/>
      <c r="AE198" s="54"/>
      <c r="AF198" s="54"/>
    </row>
    <row r="199" spans="1:32" ht="23.25" customHeight="1">
      <c r="A199" s="144">
        <v>183</v>
      </c>
      <c r="B199" s="143" t="s">
        <v>537</v>
      </c>
      <c r="C199" s="34" t="s">
        <v>153</v>
      </c>
      <c r="D199" s="34" t="s">
        <v>379</v>
      </c>
      <c r="E199" s="34" t="s">
        <v>593</v>
      </c>
      <c r="F199" s="144">
        <v>200</v>
      </c>
      <c r="G199" s="134">
        <f>G200</f>
        <v>500</v>
      </c>
      <c r="H199" s="134">
        <f t="shared" ref="H199:I199" si="100">H200</f>
        <v>0</v>
      </c>
      <c r="I199" s="29">
        <f t="shared" si="100"/>
        <v>0</v>
      </c>
      <c r="J199" s="256"/>
      <c r="M199" s="258"/>
      <c r="N199" s="258"/>
      <c r="O199" s="162"/>
      <c r="AE199" s="54"/>
      <c r="AF199" s="54"/>
    </row>
    <row r="200" spans="1:32" ht="23.25" customHeight="1">
      <c r="A200" s="144">
        <v>184</v>
      </c>
      <c r="B200" s="143" t="s">
        <v>538</v>
      </c>
      <c r="C200" s="34" t="s">
        <v>153</v>
      </c>
      <c r="D200" s="34" t="s">
        <v>379</v>
      </c>
      <c r="E200" s="34" t="s">
        <v>593</v>
      </c>
      <c r="F200" s="144">
        <v>240</v>
      </c>
      <c r="G200" s="134">
        <v>500</v>
      </c>
      <c r="H200" s="134">
        <v>0</v>
      </c>
      <c r="I200" s="157">
        <v>0</v>
      </c>
      <c r="J200" s="276"/>
      <c r="M200" s="258"/>
      <c r="N200" s="258"/>
      <c r="O200" s="162"/>
      <c r="AE200" s="54"/>
      <c r="AF200" s="54"/>
    </row>
    <row r="201" spans="1:32" ht="33.75" customHeight="1">
      <c r="A201" s="144">
        <v>185</v>
      </c>
      <c r="B201" s="143" t="s">
        <v>401</v>
      </c>
      <c r="C201" s="34" t="s">
        <v>153</v>
      </c>
      <c r="D201" s="34" t="s">
        <v>379</v>
      </c>
      <c r="E201" s="34" t="s">
        <v>435</v>
      </c>
      <c r="F201" s="144"/>
      <c r="G201" s="134">
        <f t="shared" ref="G201:H201" si="101">G202+G205+G208</f>
        <v>110000</v>
      </c>
      <c r="H201" s="134">
        <f t="shared" si="101"/>
        <v>110000</v>
      </c>
      <c r="I201" s="29">
        <f t="shared" ref="I201" si="102">I202+I205+I208</f>
        <v>65000</v>
      </c>
      <c r="M201" s="258"/>
      <c r="N201" s="258"/>
      <c r="O201" s="162"/>
      <c r="AE201" s="54"/>
      <c r="AF201" s="54"/>
    </row>
    <row r="202" spans="1:32" ht="68.25" customHeight="1">
      <c r="A202" s="144">
        <v>186</v>
      </c>
      <c r="B202" s="143" t="s">
        <v>596</v>
      </c>
      <c r="C202" s="34" t="s">
        <v>153</v>
      </c>
      <c r="D202" s="34" t="s">
        <v>379</v>
      </c>
      <c r="E202" s="34" t="s">
        <v>437</v>
      </c>
      <c r="F202" s="144"/>
      <c r="G202" s="134">
        <f t="shared" ref="G202:I203" si="103">G203</f>
        <v>50000</v>
      </c>
      <c r="H202" s="134">
        <f t="shared" si="103"/>
        <v>50000</v>
      </c>
      <c r="I202" s="29">
        <f t="shared" si="103"/>
        <v>5000</v>
      </c>
      <c r="M202" s="258"/>
      <c r="N202" s="258"/>
      <c r="O202" s="162"/>
      <c r="AE202" s="54"/>
      <c r="AF202" s="54"/>
    </row>
    <row r="203" spans="1:32" ht="20.25" customHeight="1">
      <c r="A203" s="144">
        <v>187</v>
      </c>
      <c r="B203" s="143" t="s">
        <v>20</v>
      </c>
      <c r="C203" s="34" t="s">
        <v>153</v>
      </c>
      <c r="D203" s="34" t="s">
        <v>379</v>
      </c>
      <c r="E203" s="34" t="s">
        <v>437</v>
      </c>
      <c r="F203" s="144">
        <v>200</v>
      </c>
      <c r="G203" s="134">
        <f t="shared" si="103"/>
        <v>50000</v>
      </c>
      <c r="H203" s="134">
        <f t="shared" si="103"/>
        <v>50000</v>
      </c>
      <c r="I203" s="29">
        <f t="shared" si="103"/>
        <v>5000</v>
      </c>
      <c r="M203" s="258"/>
      <c r="N203" s="258"/>
      <c r="O203" s="162"/>
      <c r="AE203" s="54"/>
      <c r="AF203" s="54"/>
    </row>
    <row r="204" spans="1:32" ht="21" customHeight="1">
      <c r="A204" s="144">
        <v>188</v>
      </c>
      <c r="B204" s="143" t="s">
        <v>21</v>
      </c>
      <c r="C204" s="34" t="s">
        <v>153</v>
      </c>
      <c r="D204" s="34" t="s">
        <v>379</v>
      </c>
      <c r="E204" s="34" t="s">
        <v>437</v>
      </c>
      <c r="F204" s="144">
        <v>240</v>
      </c>
      <c r="G204" s="134">
        <v>50000</v>
      </c>
      <c r="H204" s="134">
        <v>50000</v>
      </c>
      <c r="I204" s="157">
        <v>5000</v>
      </c>
      <c r="M204" s="258"/>
      <c r="N204" s="258"/>
      <c r="O204" s="162"/>
      <c r="AE204" s="54"/>
      <c r="AF204" s="54"/>
    </row>
    <row r="205" spans="1:32" ht="72" customHeight="1">
      <c r="A205" s="144">
        <v>189</v>
      </c>
      <c r="B205" s="143" t="s">
        <v>597</v>
      </c>
      <c r="C205" s="34" t="s">
        <v>153</v>
      </c>
      <c r="D205" s="34" t="s">
        <v>379</v>
      </c>
      <c r="E205" s="34" t="s">
        <v>438</v>
      </c>
      <c r="F205" s="144"/>
      <c r="G205" s="134">
        <f t="shared" ref="G205:I206" si="104">G206</f>
        <v>30000</v>
      </c>
      <c r="H205" s="134">
        <f t="shared" si="104"/>
        <v>30000</v>
      </c>
      <c r="I205" s="29">
        <f t="shared" si="104"/>
        <v>30000</v>
      </c>
      <c r="M205" s="258"/>
      <c r="N205" s="258"/>
      <c r="O205" s="162"/>
      <c r="AE205" s="54"/>
      <c r="AF205" s="54"/>
    </row>
    <row r="206" spans="1:32" ht="21" customHeight="1">
      <c r="A206" s="144">
        <v>190</v>
      </c>
      <c r="B206" s="143" t="s">
        <v>20</v>
      </c>
      <c r="C206" s="34" t="s">
        <v>153</v>
      </c>
      <c r="D206" s="34" t="s">
        <v>379</v>
      </c>
      <c r="E206" s="34" t="s">
        <v>438</v>
      </c>
      <c r="F206" s="144">
        <v>200</v>
      </c>
      <c r="G206" s="134">
        <f t="shared" si="104"/>
        <v>30000</v>
      </c>
      <c r="H206" s="134">
        <f t="shared" si="104"/>
        <v>30000</v>
      </c>
      <c r="I206" s="29">
        <f t="shared" si="104"/>
        <v>30000</v>
      </c>
      <c r="M206" s="258"/>
      <c r="N206" s="258"/>
      <c r="O206" s="162"/>
      <c r="AE206" s="54"/>
      <c r="AF206" s="54"/>
    </row>
    <row r="207" spans="1:32" ht="18" customHeight="1">
      <c r="A207" s="144">
        <v>191</v>
      </c>
      <c r="B207" s="143" t="s">
        <v>21</v>
      </c>
      <c r="C207" s="34" t="s">
        <v>153</v>
      </c>
      <c r="D207" s="34" t="s">
        <v>379</v>
      </c>
      <c r="E207" s="34" t="s">
        <v>438</v>
      </c>
      <c r="F207" s="144">
        <v>240</v>
      </c>
      <c r="G207" s="134">
        <v>30000</v>
      </c>
      <c r="H207" s="134">
        <v>30000</v>
      </c>
      <c r="I207" s="157">
        <v>30000</v>
      </c>
      <c r="M207" s="258"/>
      <c r="N207" s="258"/>
      <c r="O207" s="162"/>
      <c r="AE207" s="54"/>
      <c r="AF207" s="54"/>
    </row>
    <row r="208" spans="1:32" ht="60.75" customHeight="1">
      <c r="A208" s="144">
        <v>192</v>
      </c>
      <c r="B208" s="143" t="s">
        <v>598</v>
      </c>
      <c r="C208" s="34" t="s">
        <v>153</v>
      </c>
      <c r="D208" s="34" t="s">
        <v>379</v>
      </c>
      <c r="E208" s="34" t="s">
        <v>440</v>
      </c>
      <c r="F208" s="144"/>
      <c r="G208" s="134">
        <f t="shared" ref="G208:I209" si="105">G209</f>
        <v>30000</v>
      </c>
      <c r="H208" s="134">
        <f t="shared" si="105"/>
        <v>30000</v>
      </c>
      <c r="I208" s="29">
        <f t="shared" si="105"/>
        <v>30000</v>
      </c>
      <c r="M208" s="258"/>
      <c r="N208" s="258"/>
      <c r="O208" s="162"/>
      <c r="AE208" s="54"/>
      <c r="AF208" s="54"/>
    </row>
    <row r="209" spans="1:32" ht="18" customHeight="1">
      <c r="A209" s="144">
        <v>193</v>
      </c>
      <c r="B209" s="143" t="s">
        <v>20</v>
      </c>
      <c r="C209" s="34" t="s">
        <v>153</v>
      </c>
      <c r="D209" s="34" t="s">
        <v>379</v>
      </c>
      <c r="E209" s="34" t="s">
        <v>440</v>
      </c>
      <c r="F209" s="144">
        <v>200</v>
      </c>
      <c r="G209" s="134">
        <f t="shared" si="105"/>
        <v>30000</v>
      </c>
      <c r="H209" s="134">
        <f t="shared" si="105"/>
        <v>30000</v>
      </c>
      <c r="I209" s="29">
        <f t="shared" si="105"/>
        <v>30000</v>
      </c>
      <c r="M209" s="258"/>
      <c r="N209" s="258"/>
      <c r="O209" s="162"/>
      <c r="AE209" s="54"/>
      <c r="AF209" s="54"/>
    </row>
    <row r="210" spans="1:32" ht="22.5" customHeight="1">
      <c r="A210" s="144">
        <v>194</v>
      </c>
      <c r="B210" s="143" t="s">
        <v>21</v>
      </c>
      <c r="C210" s="34" t="s">
        <v>153</v>
      </c>
      <c r="D210" s="34" t="s">
        <v>379</v>
      </c>
      <c r="E210" s="34" t="s">
        <v>440</v>
      </c>
      <c r="F210" s="144">
        <v>240</v>
      </c>
      <c r="G210" s="134">
        <v>30000</v>
      </c>
      <c r="H210" s="134">
        <v>30000</v>
      </c>
      <c r="I210" s="157">
        <v>30000</v>
      </c>
      <c r="M210" s="258"/>
      <c r="N210" s="258"/>
      <c r="O210" s="162"/>
      <c r="AE210" s="54"/>
      <c r="AF210" s="54"/>
    </row>
    <row r="211" spans="1:32">
      <c r="A211" s="144">
        <v>195</v>
      </c>
      <c r="B211" s="305" t="s">
        <v>100</v>
      </c>
      <c r="C211" s="34" t="s">
        <v>153</v>
      </c>
      <c r="D211" s="34" t="s">
        <v>101</v>
      </c>
      <c r="E211" s="34"/>
      <c r="F211" s="144"/>
      <c r="G211" s="134">
        <f>G220+G228+G247+G241+G212</f>
        <v>37066089.259999998</v>
      </c>
      <c r="H211" s="134">
        <f t="shared" ref="H211:I211" si="106">H220+H228+H247+H241+H212</f>
        <v>34244925.43</v>
      </c>
      <c r="I211" s="29">
        <f t="shared" si="106"/>
        <v>34255425.43</v>
      </c>
      <c r="M211" s="258"/>
      <c r="N211" s="258"/>
      <c r="O211" s="162"/>
      <c r="AE211" s="54"/>
      <c r="AF211" s="54"/>
    </row>
    <row r="212" spans="1:32">
      <c r="A212" s="144">
        <v>196</v>
      </c>
      <c r="B212" s="308" t="s">
        <v>24</v>
      </c>
      <c r="C212" s="34" t="s">
        <v>153</v>
      </c>
      <c r="D212" s="34" t="s">
        <v>103</v>
      </c>
      <c r="E212" s="34"/>
      <c r="F212" s="144"/>
      <c r="G212" s="134">
        <f>G213</f>
        <v>246900</v>
      </c>
      <c r="H212" s="134">
        <f t="shared" ref="H212:I214" si="107">H213</f>
        <v>230000</v>
      </c>
      <c r="I212" s="29">
        <f t="shared" si="107"/>
        <v>230000</v>
      </c>
      <c r="M212" s="258"/>
      <c r="N212" s="258"/>
      <c r="O212" s="162"/>
      <c r="AE212" s="54"/>
      <c r="AF212" s="54"/>
    </row>
    <row r="213" spans="1:32">
      <c r="A213" s="144">
        <v>197</v>
      </c>
      <c r="B213" s="307" t="s">
        <v>255</v>
      </c>
      <c r="C213" s="34" t="s">
        <v>153</v>
      </c>
      <c r="D213" s="34" t="s">
        <v>103</v>
      </c>
      <c r="E213" s="34">
        <v>8500000000</v>
      </c>
      <c r="F213" s="144"/>
      <c r="G213" s="134">
        <f>G214</f>
        <v>246900</v>
      </c>
      <c r="H213" s="134">
        <f t="shared" si="107"/>
        <v>230000</v>
      </c>
      <c r="I213" s="29">
        <f t="shared" si="107"/>
        <v>230000</v>
      </c>
      <c r="M213" s="258"/>
      <c r="N213" s="258"/>
      <c r="O213" s="162"/>
      <c r="AE213" s="54"/>
      <c r="AF213" s="54"/>
    </row>
    <row r="214" spans="1:32">
      <c r="A214" s="144">
        <v>198</v>
      </c>
      <c r="B214" s="307" t="s">
        <v>256</v>
      </c>
      <c r="C214" s="34" t="s">
        <v>153</v>
      </c>
      <c r="D214" s="34" t="s">
        <v>103</v>
      </c>
      <c r="E214" s="34">
        <v>8510000000</v>
      </c>
      <c r="F214" s="144"/>
      <c r="G214" s="134">
        <f>G215</f>
        <v>246900</v>
      </c>
      <c r="H214" s="134">
        <f t="shared" si="107"/>
        <v>230000</v>
      </c>
      <c r="I214" s="29">
        <f t="shared" si="107"/>
        <v>230000</v>
      </c>
      <c r="M214" s="258"/>
      <c r="N214" s="258"/>
      <c r="O214" s="162"/>
      <c r="AE214" s="54"/>
      <c r="AF214" s="54"/>
    </row>
    <row r="215" spans="1:32" ht="30">
      <c r="A215" s="144">
        <v>199</v>
      </c>
      <c r="B215" s="316" t="s">
        <v>515</v>
      </c>
      <c r="C215" s="34" t="s">
        <v>153</v>
      </c>
      <c r="D215" s="34" t="s">
        <v>103</v>
      </c>
      <c r="E215" s="34" t="s">
        <v>516</v>
      </c>
      <c r="F215" s="144"/>
      <c r="G215" s="134">
        <f>G216+G218</f>
        <v>246900</v>
      </c>
      <c r="H215" s="134">
        <f t="shared" ref="H215:I215" si="108">H216+H218</f>
        <v>230000</v>
      </c>
      <c r="I215" s="29">
        <f t="shared" si="108"/>
        <v>230000</v>
      </c>
      <c r="M215" s="258"/>
      <c r="N215" s="258"/>
      <c r="O215" s="162"/>
      <c r="AE215" s="54"/>
      <c r="AF215" s="54"/>
    </row>
    <row r="216" spans="1:32" ht="45">
      <c r="A216" s="144">
        <v>200</v>
      </c>
      <c r="B216" s="143" t="s">
        <v>15</v>
      </c>
      <c r="C216" s="34" t="s">
        <v>153</v>
      </c>
      <c r="D216" s="34" t="s">
        <v>103</v>
      </c>
      <c r="E216" s="34" t="s">
        <v>516</v>
      </c>
      <c r="F216" s="144">
        <v>100</v>
      </c>
      <c r="G216" s="134">
        <f>G217</f>
        <v>219161.62</v>
      </c>
      <c r="H216" s="134">
        <f t="shared" ref="H216:I216" si="109">H217</f>
        <v>202261.62</v>
      </c>
      <c r="I216" s="29">
        <f t="shared" si="109"/>
        <v>202261.62</v>
      </c>
      <c r="M216" s="258"/>
      <c r="N216" s="258"/>
      <c r="O216" s="162"/>
      <c r="AE216" s="54"/>
      <c r="AF216" s="54"/>
    </row>
    <row r="217" spans="1:32">
      <c r="A217" s="144">
        <v>201</v>
      </c>
      <c r="B217" s="143" t="s">
        <v>16</v>
      </c>
      <c r="C217" s="34" t="s">
        <v>153</v>
      </c>
      <c r="D217" s="34" t="s">
        <v>103</v>
      </c>
      <c r="E217" s="34" t="s">
        <v>516</v>
      </c>
      <c r="F217" s="144">
        <v>120</v>
      </c>
      <c r="G217" s="134">
        <f>202261.62+16900</f>
        <v>219161.62</v>
      </c>
      <c r="H217" s="134">
        <v>202261.62</v>
      </c>
      <c r="I217" s="29">
        <v>202261.62</v>
      </c>
      <c r="M217" s="258"/>
      <c r="N217" s="258"/>
      <c r="O217" s="162"/>
      <c r="AE217" s="54"/>
      <c r="AF217" s="54"/>
    </row>
    <row r="218" spans="1:32">
      <c r="A218" s="144">
        <v>202</v>
      </c>
      <c r="B218" s="143" t="s">
        <v>20</v>
      </c>
      <c r="C218" s="34" t="s">
        <v>153</v>
      </c>
      <c r="D218" s="34" t="s">
        <v>103</v>
      </c>
      <c r="E218" s="34" t="s">
        <v>516</v>
      </c>
      <c r="F218" s="144">
        <v>200</v>
      </c>
      <c r="G218" s="134">
        <f>G219</f>
        <v>27738.38</v>
      </c>
      <c r="H218" s="134">
        <f t="shared" ref="H218:I218" si="110">H219</f>
        <v>27738.38</v>
      </c>
      <c r="I218" s="29">
        <f t="shared" si="110"/>
        <v>27738.38</v>
      </c>
      <c r="M218" s="258"/>
      <c r="N218" s="258"/>
      <c r="O218" s="162"/>
      <c r="AE218" s="54"/>
      <c r="AF218" s="54"/>
    </row>
    <row r="219" spans="1:32">
      <c r="A219" s="144">
        <v>203</v>
      </c>
      <c r="B219" s="143" t="s">
        <v>21</v>
      </c>
      <c r="C219" s="34" t="s">
        <v>153</v>
      </c>
      <c r="D219" s="34" t="s">
        <v>103</v>
      </c>
      <c r="E219" s="34" t="s">
        <v>516</v>
      </c>
      <c r="F219" s="144">
        <v>240</v>
      </c>
      <c r="G219" s="134">
        <v>27738.38</v>
      </c>
      <c r="H219" s="134">
        <v>27738.38</v>
      </c>
      <c r="I219" s="29">
        <v>27738.38</v>
      </c>
      <c r="M219" s="258"/>
      <c r="N219" s="258"/>
      <c r="O219" s="162"/>
      <c r="AE219" s="54"/>
      <c r="AF219" s="54"/>
    </row>
    <row r="220" spans="1:32">
      <c r="A220" s="144">
        <v>204</v>
      </c>
      <c r="B220" s="310" t="s">
        <v>41</v>
      </c>
      <c r="C220" s="34" t="s">
        <v>153</v>
      </c>
      <c r="D220" s="34" t="s">
        <v>104</v>
      </c>
      <c r="E220" s="34"/>
      <c r="F220" s="144"/>
      <c r="G220" s="134">
        <f t="shared" ref="G220:I222" si="111">G221</f>
        <v>1147100</v>
      </c>
      <c r="H220" s="134">
        <f t="shared" si="111"/>
        <v>1062700</v>
      </c>
      <c r="I220" s="29">
        <f t="shared" si="111"/>
        <v>1062700</v>
      </c>
      <c r="M220" s="258"/>
      <c r="N220" s="258"/>
      <c r="O220" s="162"/>
      <c r="AE220" s="54"/>
      <c r="AF220" s="54"/>
    </row>
    <row r="221" spans="1:32" ht="30">
      <c r="A221" s="144">
        <v>205</v>
      </c>
      <c r="B221" s="308" t="s">
        <v>376</v>
      </c>
      <c r="C221" s="34" t="s">
        <v>153</v>
      </c>
      <c r="D221" s="34" t="s">
        <v>104</v>
      </c>
      <c r="E221" s="34" t="s">
        <v>180</v>
      </c>
      <c r="F221" s="144"/>
      <c r="G221" s="134">
        <f t="shared" si="111"/>
        <v>1147100</v>
      </c>
      <c r="H221" s="134">
        <f t="shared" si="111"/>
        <v>1062700</v>
      </c>
      <c r="I221" s="29">
        <f t="shared" si="111"/>
        <v>1062700</v>
      </c>
      <c r="M221" s="258"/>
      <c r="N221" s="258"/>
      <c r="O221" s="162"/>
      <c r="AE221" s="54"/>
      <c r="AF221" s="54"/>
    </row>
    <row r="222" spans="1:32">
      <c r="A222" s="144">
        <v>206</v>
      </c>
      <c r="B222" s="308" t="s">
        <v>266</v>
      </c>
      <c r="C222" s="34" t="s">
        <v>153</v>
      </c>
      <c r="D222" s="34" t="s">
        <v>104</v>
      </c>
      <c r="E222" s="34" t="s">
        <v>486</v>
      </c>
      <c r="F222" s="144"/>
      <c r="G222" s="134">
        <f t="shared" si="111"/>
        <v>1147100</v>
      </c>
      <c r="H222" s="134">
        <f t="shared" si="111"/>
        <v>1062700</v>
      </c>
      <c r="I222" s="29">
        <f t="shared" si="111"/>
        <v>1062700</v>
      </c>
      <c r="M222" s="258"/>
      <c r="N222" s="258"/>
      <c r="O222" s="162"/>
      <c r="AE222" s="54"/>
      <c r="AF222" s="54"/>
    </row>
    <row r="223" spans="1:32" ht="30">
      <c r="A223" s="144">
        <v>207</v>
      </c>
      <c r="B223" s="315" t="s">
        <v>42</v>
      </c>
      <c r="C223" s="34" t="s">
        <v>153</v>
      </c>
      <c r="D223" s="34" t="s">
        <v>104</v>
      </c>
      <c r="E223" s="34" t="s">
        <v>487</v>
      </c>
      <c r="F223" s="144"/>
      <c r="G223" s="134">
        <f t="shared" ref="G223:H223" si="112">G224+G226</f>
        <v>1147100</v>
      </c>
      <c r="H223" s="134">
        <f t="shared" si="112"/>
        <v>1062700</v>
      </c>
      <c r="I223" s="29">
        <f t="shared" ref="I223" si="113">I224+I226</f>
        <v>1062700</v>
      </c>
      <c r="M223" s="258"/>
      <c r="N223" s="258"/>
      <c r="O223" s="247"/>
      <c r="AE223" s="54"/>
      <c r="AF223" s="54"/>
    </row>
    <row r="224" spans="1:32" ht="45">
      <c r="A224" s="144">
        <v>208</v>
      </c>
      <c r="B224" s="143" t="s">
        <v>15</v>
      </c>
      <c r="C224" s="34" t="s">
        <v>153</v>
      </c>
      <c r="D224" s="34" t="s">
        <v>104</v>
      </c>
      <c r="E224" s="34" t="s">
        <v>487</v>
      </c>
      <c r="F224" s="144">
        <v>100</v>
      </c>
      <c r="G224" s="134">
        <f t="shared" ref="G224:I224" si="114">G225</f>
        <v>1042738.06</v>
      </c>
      <c r="H224" s="134">
        <f t="shared" si="114"/>
        <v>958338.06</v>
      </c>
      <c r="I224" s="29">
        <f t="shared" si="114"/>
        <v>958338.06</v>
      </c>
      <c r="M224" s="258"/>
      <c r="N224" s="258"/>
      <c r="O224" s="162"/>
      <c r="AE224" s="54"/>
      <c r="AF224" s="54"/>
    </row>
    <row r="225" spans="1:32">
      <c r="A225" s="144">
        <v>209</v>
      </c>
      <c r="B225" s="143" t="s">
        <v>16</v>
      </c>
      <c r="C225" s="34" t="s">
        <v>153</v>
      </c>
      <c r="D225" s="34" t="s">
        <v>104</v>
      </c>
      <c r="E225" s="34" t="s">
        <v>487</v>
      </c>
      <c r="F225" s="144">
        <v>120</v>
      </c>
      <c r="G225" s="134">
        <f>958338.06+84400</f>
        <v>1042738.06</v>
      </c>
      <c r="H225" s="134">
        <v>958338.06</v>
      </c>
      <c r="I225" s="29">
        <v>958338.06</v>
      </c>
      <c r="M225" s="258"/>
      <c r="N225" s="258"/>
      <c r="O225" s="162"/>
      <c r="AE225" s="54"/>
      <c r="AF225" s="54"/>
    </row>
    <row r="226" spans="1:32">
      <c r="A226" s="144">
        <v>210</v>
      </c>
      <c r="B226" s="143" t="s">
        <v>20</v>
      </c>
      <c r="C226" s="34" t="s">
        <v>153</v>
      </c>
      <c r="D226" s="34" t="s">
        <v>104</v>
      </c>
      <c r="E226" s="34" t="s">
        <v>487</v>
      </c>
      <c r="F226" s="144">
        <v>200</v>
      </c>
      <c r="G226" s="134">
        <f t="shared" ref="G226:I226" si="115">G227</f>
        <v>104361.94</v>
      </c>
      <c r="H226" s="134">
        <f t="shared" si="115"/>
        <v>104361.94</v>
      </c>
      <c r="I226" s="29">
        <f t="shared" si="115"/>
        <v>104361.94</v>
      </c>
      <c r="M226" s="258"/>
      <c r="N226" s="258"/>
      <c r="O226" s="162"/>
      <c r="AE226" s="54"/>
      <c r="AF226" s="54"/>
    </row>
    <row r="227" spans="1:32">
      <c r="A227" s="144">
        <v>211</v>
      </c>
      <c r="B227" s="143" t="s">
        <v>21</v>
      </c>
      <c r="C227" s="34" t="s">
        <v>153</v>
      </c>
      <c r="D227" s="34" t="s">
        <v>104</v>
      </c>
      <c r="E227" s="34" t="s">
        <v>487</v>
      </c>
      <c r="F227" s="144">
        <v>240</v>
      </c>
      <c r="G227" s="134">
        <v>104361.94</v>
      </c>
      <c r="H227" s="134">
        <v>104361.94</v>
      </c>
      <c r="I227" s="157">
        <v>104361.94</v>
      </c>
      <c r="M227" s="258"/>
      <c r="N227" s="258"/>
      <c r="O227" s="162"/>
      <c r="AE227" s="54"/>
      <c r="AF227" s="54"/>
    </row>
    <row r="228" spans="1:32">
      <c r="A228" s="144">
        <v>212</v>
      </c>
      <c r="B228" s="305" t="s">
        <v>40</v>
      </c>
      <c r="C228" s="34" t="s">
        <v>153</v>
      </c>
      <c r="D228" s="34" t="s">
        <v>105</v>
      </c>
      <c r="E228" s="34"/>
      <c r="F228" s="144"/>
      <c r="G228" s="134">
        <f t="shared" ref="G228:I229" si="116">G229</f>
        <v>31124225.43</v>
      </c>
      <c r="H228" s="134">
        <f t="shared" si="116"/>
        <v>31124225.43</v>
      </c>
      <c r="I228" s="29">
        <f t="shared" si="116"/>
        <v>31124225.43</v>
      </c>
      <c r="M228" s="258"/>
      <c r="N228" s="258"/>
      <c r="O228" s="162"/>
      <c r="AE228" s="54"/>
      <c r="AF228" s="54"/>
    </row>
    <row r="229" spans="1:32">
      <c r="A229" s="144">
        <v>213</v>
      </c>
      <c r="B229" s="310" t="s">
        <v>43</v>
      </c>
      <c r="C229" s="34" t="s">
        <v>153</v>
      </c>
      <c r="D229" s="34" t="s">
        <v>105</v>
      </c>
      <c r="E229" s="34">
        <v>1000000000</v>
      </c>
      <c r="F229" s="144"/>
      <c r="G229" s="134">
        <f t="shared" si="116"/>
        <v>31124225.43</v>
      </c>
      <c r="H229" s="134">
        <f t="shared" si="116"/>
        <v>31124225.43</v>
      </c>
      <c r="I229" s="29">
        <f t="shared" si="116"/>
        <v>31124225.43</v>
      </c>
      <c r="M229" s="258"/>
      <c r="N229" s="258"/>
      <c r="O229" s="162"/>
      <c r="AE229" s="54"/>
      <c r="AF229" s="54"/>
    </row>
    <row r="230" spans="1:32">
      <c r="A230" s="144">
        <v>214</v>
      </c>
      <c r="B230" s="310" t="s">
        <v>312</v>
      </c>
      <c r="C230" s="34" t="s">
        <v>153</v>
      </c>
      <c r="D230" s="34" t="s">
        <v>105</v>
      </c>
      <c r="E230" s="34">
        <v>1010000000</v>
      </c>
      <c r="F230" s="144"/>
      <c r="G230" s="134">
        <f>G231+G236</f>
        <v>31124225.43</v>
      </c>
      <c r="H230" s="134">
        <f t="shared" ref="H230:I230" si="117">H231+H236</f>
        <v>31124225.43</v>
      </c>
      <c r="I230" s="29">
        <f t="shared" si="117"/>
        <v>31124225.43</v>
      </c>
      <c r="M230" s="258"/>
      <c r="N230" s="258"/>
      <c r="O230" s="162"/>
      <c r="AE230" s="54"/>
      <c r="AF230" s="54"/>
    </row>
    <row r="231" spans="1:32" ht="75">
      <c r="A231" s="144">
        <v>215</v>
      </c>
      <c r="B231" s="306" t="s">
        <v>44</v>
      </c>
      <c r="C231" s="34" t="s">
        <v>153</v>
      </c>
      <c r="D231" s="34" t="s">
        <v>105</v>
      </c>
      <c r="E231" s="34">
        <v>1010023580</v>
      </c>
      <c r="F231" s="144"/>
      <c r="G231" s="134">
        <f>G232+G234</f>
        <v>25096225.43</v>
      </c>
      <c r="H231" s="134">
        <f t="shared" ref="H231:I231" si="118">H232+H234</f>
        <v>25096225.43</v>
      </c>
      <c r="I231" s="29">
        <f t="shared" si="118"/>
        <v>25096225.43</v>
      </c>
      <c r="M231" s="258"/>
      <c r="N231" s="258"/>
      <c r="O231" s="162"/>
      <c r="AE231" s="54"/>
      <c r="AF231" s="54"/>
    </row>
    <row r="232" spans="1:32">
      <c r="A232" s="144">
        <v>216</v>
      </c>
      <c r="B232" s="143" t="s">
        <v>32</v>
      </c>
      <c r="C232" s="34" t="s">
        <v>153</v>
      </c>
      <c r="D232" s="34" t="s">
        <v>105</v>
      </c>
      <c r="E232" s="34">
        <v>1010023580</v>
      </c>
      <c r="F232" s="144">
        <v>800</v>
      </c>
      <c r="G232" s="134">
        <f t="shared" ref="G232:I232" si="119">G233</f>
        <v>25096210</v>
      </c>
      <c r="H232" s="134">
        <f t="shared" si="119"/>
        <v>25096210</v>
      </c>
      <c r="I232" s="29">
        <f t="shared" si="119"/>
        <v>25096210</v>
      </c>
      <c r="M232" s="258"/>
      <c r="N232" s="258"/>
      <c r="O232" s="162"/>
      <c r="AE232" s="54"/>
      <c r="AF232" s="54"/>
    </row>
    <row r="233" spans="1:32" ht="30">
      <c r="A233" s="144">
        <v>217</v>
      </c>
      <c r="B233" s="143" t="s">
        <v>45</v>
      </c>
      <c r="C233" s="34" t="s">
        <v>153</v>
      </c>
      <c r="D233" s="34" t="s">
        <v>105</v>
      </c>
      <c r="E233" s="34">
        <v>1010023580</v>
      </c>
      <c r="F233" s="144">
        <v>810</v>
      </c>
      <c r="G233" s="134">
        <v>25096210</v>
      </c>
      <c r="H233" s="134">
        <v>25096210</v>
      </c>
      <c r="I233" s="157">
        <v>25096210</v>
      </c>
      <c r="M233" s="258"/>
      <c r="N233" s="258"/>
      <c r="O233" s="162"/>
      <c r="AE233" s="54"/>
      <c r="AF233" s="54"/>
    </row>
    <row r="234" spans="1:32">
      <c r="A234" s="144">
        <v>218</v>
      </c>
      <c r="B234" s="143" t="s">
        <v>20</v>
      </c>
      <c r="C234" s="34" t="s">
        <v>153</v>
      </c>
      <c r="D234" s="34" t="s">
        <v>105</v>
      </c>
      <c r="E234" s="34">
        <v>1010023580</v>
      </c>
      <c r="F234" s="144">
        <v>200</v>
      </c>
      <c r="G234" s="134">
        <f>G235</f>
        <v>15.43</v>
      </c>
      <c r="H234" s="134">
        <f t="shared" ref="H234:I234" si="120">H235</f>
        <v>15.43</v>
      </c>
      <c r="I234" s="29">
        <f t="shared" si="120"/>
        <v>15.43</v>
      </c>
      <c r="M234" s="258"/>
      <c r="N234" s="258"/>
      <c r="O234" s="162"/>
      <c r="AE234" s="54"/>
      <c r="AF234" s="54"/>
    </row>
    <row r="235" spans="1:32">
      <c r="A235" s="144">
        <v>219</v>
      </c>
      <c r="B235" s="143" t="s">
        <v>21</v>
      </c>
      <c r="C235" s="34" t="s">
        <v>153</v>
      </c>
      <c r="D235" s="34" t="s">
        <v>105</v>
      </c>
      <c r="E235" s="34">
        <v>1010023580</v>
      </c>
      <c r="F235" s="144">
        <v>240</v>
      </c>
      <c r="G235" s="134">
        <v>15.43</v>
      </c>
      <c r="H235" s="134">
        <v>15.43</v>
      </c>
      <c r="I235" s="157">
        <v>15.43</v>
      </c>
      <c r="M235" s="258"/>
      <c r="N235" s="258"/>
      <c r="O235" s="162"/>
      <c r="AE235" s="54"/>
      <c r="AF235" s="54"/>
    </row>
    <row r="236" spans="1:32" ht="72.75" customHeight="1">
      <c r="A236" s="144">
        <v>220</v>
      </c>
      <c r="B236" s="307" t="s">
        <v>267</v>
      </c>
      <c r="C236" s="34" t="s">
        <v>153</v>
      </c>
      <c r="D236" s="34" t="s">
        <v>105</v>
      </c>
      <c r="E236" s="34">
        <v>1010023590</v>
      </c>
      <c r="F236" s="144"/>
      <c r="G236" s="134">
        <f t="shared" ref="G236:I236" si="121">G237</f>
        <v>6028000</v>
      </c>
      <c r="H236" s="134">
        <f t="shared" si="121"/>
        <v>6028000</v>
      </c>
      <c r="I236" s="29">
        <f t="shared" si="121"/>
        <v>6028000</v>
      </c>
      <c r="M236" s="258"/>
      <c r="N236" s="258"/>
      <c r="O236" s="162"/>
      <c r="AE236" s="54"/>
      <c r="AF236" s="54"/>
    </row>
    <row r="237" spans="1:32">
      <c r="A237" s="144">
        <v>221</v>
      </c>
      <c r="B237" s="143" t="s">
        <v>32</v>
      </c>
      <c r="C237" s="34" t="s">
        <v>153</v>
      </c>
      <c r="D237" s="34" t="s">
        <v>105</v>
      </c>
      <c r="E237" s="34">
        <v>1010023590</v>
      </c>
      <c r="F237" s="144">
        <v>800</v>
      </c>
      <c r="G237" s="134">
        <f>G238+G239</f>
        <v>6028000</v>
      </c>
      <c r="H237" s="134">
        <f t="shared" ref="H237:I237" si="122">H238+H239</f>
        <v>6028000</v>
      </c>
      <c r="I237" s="29">
        <f t="shared" si="122"/>
        <v>6028000</v>
      </c>
      <c r="M237" s="258"/>
      <c r="N237" s="258"/>
      <c r="O237" s="162"/>
      <c r="AE237" s="54"/>
      <c r="AF237" s="54"/>
    </row>
    <row r="238" spans="1:32" ht="54.75" customHeight="1">
      <c r="A238" s="144">
        <v>222</v>
      </c>
      <c r="B238" s="143" t="s">
        <v>45</v>
      </c>
      <c r="C238" s="34" t="s">
        <v>153</v>
      </c>
      <c r="D238" s="34" t="s">
        <v>105</v>
      </c>
      <c r="E238" s="34">
        <v>1010023590</v>
      </c>
      <c r="F238" s="144">
        <v>810</v>
      </c>
      <c r="G238" s="134">
        <v>6027900</v>
      </c>
      <c r="H238" s="134">
        <v>6027900</v>
      </c>
      <c r="I238" s="29">
        <v>6027900</v>
      </c>
      <c r="M238" s="258"/>
      <c r="N238" s="258"/>
      <c r="O238" s="162"/>
      <c r="AE238" s="54"/>
      <c r="AF238" s="54"/>
    </row>
    <row r="239" spans="1:32" ht="23.25" customHeight="1">
      <c r="A239" s="144">
        <v>223</v>
      </c>
      <c r="B239" s="143" t="s">
        <v>20</v>
      </c>
      <c r="C239" s="34" t="s">
        <v>153</v>
      </c>
      <c r="D239" s="34" t="s">
        <v>105</v>
      </c>
      <c r="E239" s="34">
        <v>1010023590</v>
      </c>
      <c r="F239" s="144">
        <v>200</v>
      </c>
      <c r="G239" s="134">
        <f>G240</f>
        <v>100</v>
      </c>
      <c r="H239" s="134">
        <f t="shared" ref="H239:I239" si="123">H240</f>
        <v>100</v>
      </c>
      <c r="I239" s="29">
        <f t="shared" si="123"/>
        <v>100</v>
      </c>
      <c r="M239" s="258"/>
      <c r="N239" s="258"/>
      <c r="O239" s="162"/>
      <c r="AE239" s="54"/>
      <c r="AF239" s="54"/>
    </row>
    <row r="240" spans="1:32" ht="24.75" customHeight="1">
      <c r="A240" s="144">
        <v>224</v>
      </c>
      <c r="B240" s="143" t="s">
        <v>21</v>
      </c>
      <c r="C240" s="34" t="s">
        <v>153</v>
      </c>
      <c r="D240" s="34" t="s">
        <v>105</v>
      </c>
      <c r="E240" s="34">
        <v>1010023590</v>
      </c>
      <c r="F240" s="144">
        <v>240</v>
      </c>
      <c r="G240" s="134">
        <v>100</v>
      </c>
      <c r="H240" s="134">
        <v>100</v>
      </c>
      <c r="I240" s="29">
        <v>100</v>
      </c>
      <c r="M240" s="258"/>
      <c r="N240" s="258"/>
      <c r="O240" s="162"/>
      <c r="AE240" s="54"/>
      <c r="AF240" s="54"/>
    </row>
    <row r="241" spans="1:32">
      <c r="A241" s="144">
        <v>225</v>
      </c>
      <c r="B241" s="305" t="s">
        <v>46</v>
      </c>
      <c r="C241" s="34" t="s">
        <v>153</v>
      </c>
      <c r="D241" s="34" t="s">
        <v>107</v>
      </c>
      <c r="E241" s="34"/>
      <c r="F241" s="144"/>
      <c r="G241" s="134">
        <f t="shared" ref="G241:I241" si="124">G242</f>
        <v>1817813.83</v>
      </c>
      <c r="H241" s="134">
        <f t="shared" si="124"/>
        <v>1029200</v>
      </c>
      <c r="I241" s="29">
        <f t="shared" si="124"/>
        <v>1039700</v>
      </c>
      <c r="M241" s="258"/>
      <c r="N241" s="258"/>
      <c r="O241" s="162"/>
      <c r="AE241" s="54"/>
      <c r="AF241" s="54"/>
    </row>
    <row r="242" spans="1:32">
      <c r="A242" s="144">
        <v>226</v>
      </c>
      <c r="B242" s="310" t="s">
        <v>43</v>
      </c>
      <c r="C242" s="34" t="s">
        <v>153</v>
      </c>
      <c r="D242" s="34" t="s">
        <v>107</v>
      </c>
      <c r="E242" s="34">
        <v>1000000000</v>
      </c>
      <c r="F242" s="144"/>
      <c r="G242" s="134">
        <f>G244</f>
        <v>1817813.83</v>
      </c>
      <c r="H242" s="134">
        <f t="shared" ref="H242:I242" si="125">H244</f>
        <v>1029200</v>
      </c>
      <c r="I242" s="29">
        <f t="shared" si="125"/>
        <v>1039700</v>
      </c>
      <c r="M242" s="258"/>
      <c r="N242" s="258"/>
      <c r="O242" s="162"/>
      <c r="AE242" s="54"/>
      <c r="AF242" s="54"/>
    </row>
    <row r="243" spans="1:32" s="54" customFormat="1">
      <c r="A243" s="144">
        <v>227</v>
      </c>
      <c r="B243" s="307" t="s">
        <v>254</v>
      </c>
      <c r="C243" s="34" t="s">
        <v>153</v>
      </c>
      <c r="D243" s="34" t="s">
        <v>107</v>
      </c>
      <c r="E243" s="34">
        <v>1040000000</v>
      </c>
      <c r="F243" s="144"/>
      <c r="G243" s="134">
        <f>G244</f>
        <v>1817813.83</v>
      </c>
      <c r="H243" s="134">
        <f t="shared" ref="H243:I243" si="126">H244</f>
        <v>1029200</v>
      </c>
      <c r="I243" s="29">
        <f t="shared" si="126"/>
        <v>1039700</v>
      </c>
      <c r="M243" s="258"/>
      <c r="N243" s="258"/>
      <c r="O243" s="162"/>
    </row>
    <row r="244" spans="1:32" s="54" customFormat="1" ht="45">
      <c r="A244" s="144">
        <v>228</v>
      </c>
      <c r="B244" s="307" t="s">
        <v>459</v>
      </c>
      <c r="C244" s="34" t="s">
        <v>153</v>
      </c>
      <c r="D244" s="34" t="s">
        <v>107</v>
      </c>
      <c r="E244" s="34">
        <v>1040082240</v>
      </c>
      <c r="F244" s="144"/>
      <c r="G244" s="134">
        <f t="shared" ref="G244:I245" si="127">G245</f>
        <v>1817813.83</v>
      </c>
      <c r="H244" s="134">
        <f t="shared" si="127"/>
        <v>1029200</v>
      </c>
      <c r="I244" s="29">
        <f t="shared" si="127"/>
        <v>1039700</v>
      </c>
      <c r="M244" s="258"/>
      <c r="N244" s="258"/>
      <c r="O244" s="162"/>
    </row>
    <row r="245" spans="1:32" s="54" customFormat="1">
      <c r="A245" s="144">
        <v>229</v>
      </c>
      <c r="B245" s="143" t="s">
        <v>20</v>
      </c>
      <c r="C245" s="34" t="s">
        <v>153</v>
      </c>
      <c r="D245" s="34" t="s">
        <v>107</v>
      </c>
      <c r="E245" s="34">
        <v>1040082240</v>
      </c>
      <c r="F245" s="144">
        <v>200</v>
      </c>
      <c r="G245" s="134">
        <f t="shared" si="127"/>
        <v>1817813.83</v>
      </c>
      <c r="H245" s="134">
        <f t="shared" si="127"/>
        <v>1029200</v>
      </c>
      <c r="I245" s="29">
        <f t="shared" si="127"/>
        <v>1039700</v>
      </c>
      <c r="M245" s="258"/>
      <c r="N245" s="258"/>
      <c r="O245" s="162"/>
    </row>
    <row r="246" spans="1:32" s="54" customFormat="1">
      <c r="A246" s="144">
        <v>230</v>
      </c>
      <c r="B246" s="143" t="s">
        <v>21</v>
      </c>
      <c r="C246" s="34" t="s">
        <v>153</v>
      </c>
      <c r="D246" s="34" t="s">
        <v>107</v>
      </c>
      <c r="E246" s="34">
        <v>1040082240</v>
      </c>
      <c r="F246" s="144">
        <v>240</v>
      </c>
      <c r="G246" s="134">
        <f>1072400+596537.04+148876.79</f>
        <v>1817813.83</v>
      </c>
      <c r="H246" s="134">
        <v>1029200</v>
      </c>
      <c r="I246" s="157">
        <v>1039700</v>
      </c>
      <c r="J246" s="278"/>
      <c r="M246" s="258"/>
      <c r="N246" s="258"/>
      <c r="O246" s="162"/>
    </row>
    <row r="247" spans="1:32">
      <c r="A247" s="144">
        <v>231</v>
      </c>
      <c r="B247" s="305" t="s">
        <v>47</v>
      </c>
      <c r="C247" s="34" t="s">
        <v>153</v>
      </c>
      <c r="D247" s="34" t="s">
        <v>108</v>
      </c>
      <c r="E247" s="34"/>
      <c r="F247" s="144"/>
      <c r="G247" s="134">
        <f>G248+G256</f>
        <v>2730050</v>
      </c>
      <c r="H247" s="134">
        <f t="shared" ref="H247:I247" si="128">H248+H256</f>
        <v>798800</v>
      </c>
      <c r="I247" s="29">
        <f t="shared" si="128"/>
        <v>798800</v>
      </c>
      <c r="M247" s="258"/>
      <c r="N247" s="258"/>
      <c r="O247" s="162"/>
      <c r="AE247" s="54"/>
      <c r="AF247" s="54"/>
    </row>
    <row r="248" spans="1:32" ht="30">
      <c r="A248" s="144">
        <v>232</v>
      </c>
      <c r="B248" s="308" t="s">
        <v>376</v>
      </c>
      <c r="C248" s="34" t="s">
        <v>153</v>
      </c>
      <c r="D248" s="34" t="s">
        <v>108</v>
      </c>
      <c r="E248" s="34" t="s">
        <v>180</v>
      </c>
      <c r="F248" s="144"/>
      <c r="G248" s="134">
        <f t="shared" ref="G248:I251" si="129">G249</f>
        <v>1368800</v>
      </c>
      <c r="H248" s="134">
        <f t="shared" si="129"/>
        <v>798800</v>
      </c>
      <c r="I248" s="29">
        <f t="shared" si="129"/>
        <v>798800</v>
      </c>
      <c r="M248" s="258"/>
      <c r="N248" s="258"/>
      <c r="O248" s="162"/>
      <c r="AE248" s="54"/>
      <c r="AF248" s="54"/>
    </row>
    <row r="249" spans="1:32" ht="30">
      <c r="A249" s="144">
        <v>233</v>
      </c>
      <c r="B249" s="315" t="s">
        <v>484</v>
      </c>
      <c r="C249" s="34" t="s">
        <v>153</v>
      </c>
      <c r="D249" s="34" t="s">
        <v>108</v>
      </c>
      <c r="E249" s="34" t="s">
        <v>381</v>
      </c>
      <c r="F249" s="144"/>
      <c r="G249" s="134">
        <f>G250+G253</f>
        <v>1368800</v>
      </c>
      <c r="H249" s="134">
        <f t="shared" ref="H249:I249" si="130">H250+H253</f>
        <v>798800</v>
      </c>
      <c r="I249" s="29">
        <f t="shared" si="130"/>
        <v>798800</v>
      </c>
      <c r="M249" s="258"/>
      <c r="N249" s="258"/>
      <c r="O249" s="162"/>
      <c r="AE249" s="54"/>
      <c r="AF249" s="54"/>
    </row>
    <row r="250" spans="1:32">
      <c r="A250" s="144">
        <v>234</v>
      </c>
      <c r="B250" s="306" t="s">
        <v>48</v>
      </c>
      <c r="C250" s="34" t="s">
        <v>153</v>
      </c>
      <c r="D250" s="34" t="s">
        <v>108</v>
      </c>
      <c r="E250" s="34" t="s">
        <v>384</v>
      </c>
      <c r="F250" s="144"/>
      <c r="G250" s="134">
        <f t="shared" si="129"/>
        <v>768800</v>
      </c>
      <c r="H250" s="134">
        <f t="shared" si="129"/>
        <v>768800</v>
      </c>
      <c r="I250" s="29">
        <f t="shared" si="129"/>
        <v>768800</v>
      </c>
      <c r="M250" s="258"/>
      <c r="N250" s="258"/>
      <c r="O250" s="162"/>
      <c r="AE250" s="54"/>
      <c r="AF250" s="54"/>
    </row>
    <row r="251" spans="1:32">
      <c r="A251" s="144">
        <v>235</v>
      </c>
      <c r="B251" s="143" t="s">
        <v>32</v>
      </c>
      <c r="C251" s="34" t="s">
        <v>153</v>
      </c>
      <c r="D251" s="34" t="s">
        <v>108</v>
      </c>
      <c r="E251" s="34" t="s">
        <v>384</v>
      </c>
      <c r="F251" s="144">
        <v>800</v>
      </c>
      <c r="G251" s="134">
        <f t="shared" si="129"/>
        <v>768800</v>
      </c>
      <c r="H251" s="134">
        <f t="shared" si="129"/>
        <v>768800</v>
      </c>
      <c r="I251" s="29">
        <f t="shared" si="129"/>
        <v>768800</v>
      </c>
      <c r="M251" s="258"/>
      <c r="N251" s="258"/>
      <c r="O251" s="162"/>
      <c r="AE251" s="54"/>
      <c r="AF251" s="54"/>
    </row>
    <row r="252" spans="1:32" ht="30">
      <c r="A252" s="144">
        <v>236</v>
      </c>
      <c r="B252" s="143" t="s">
        <v>45</v>
      </c>
      <c r="C252" s="34" t="s">
        <v>153</v>
      </c>
      <c r="D252" s="34" t="s">
        <v>108</v>
      </c>
      <c r="E252" s="34" t="s">
        <v>384</v>
      </c>
      <c r="F252" s="144">
        <v>810</v>
      </c>
      <c r="G252" s="134">
        <f>618800+150000</f>
        <v>768800</v>
      </c>
      <c r="H252" s="134">
        <f>618800+150000</f>
        <v>768800</v>
      </c>
      <c r="I252" s="157">
        <f>618800+150000</f>
        <v>768800</v>
      </c>
      <c r="M252" s="258"/>
      <c r="N252" s="258"/>
      <c r="O252" s="162"/>
      <c r="AE252" s="54"/>
      <c r="AF252" s="54"/>
    </row>
    <row r="253" spans="1:32" ht="45">
      <c r="A253" s="144">
        <v>237</v>
      </c>
      <c r="B253" s="307" t="s">
        <v>473</v>
      </c>
      <c r="C253" s="34" t="s">
        <v>153</v>
      </c>
      <c r="D253" s="34" t="s">
        <v>108</v>
      </c>
      <c r="E253" s="34" t="s">
        <v>469</v>
      </c>
      <c r="F253" s="144"/>
      <c r="G253" s="134">
        <f>G254</f>
        <v>600000</v>
      </c>
      <c r="H253" s="134">
        <f t="shared" ref="H253:I254" si="131">H254</f>
        <v>30000</v>
      </c>
      <c r="I253" s="29">
        <f t="shared" si="131"/>
        <v>30000</v>
      </c>
      <c r="M253" s="258"/>
      <c r="N253" s="258"/>
      <c r="O253" s="162"/>
      <c r="AE253" s="54"/>
      <c r="AF253" s="54"/>
    </row>
    <row r="254" spans="1:32">
      <c r="A254" s="144">
        <v>238</v>
      </c>
      <c r="B254" s="143" t="s">
        <v>32</v>
      </c>
      <c r="C254" s="34" t="s">
        <v>153</v>
      </c>
      <c r="D254" s="34" t="s">
        <v>108</v>
      </c>
      <c r="E254" s="34" t="s">
        <v>469</v>
      </c>
      <c r="F254" s="144">
        <v>800</v>
      </c>
      <c r="G254" s="134">
        <f>G255</f>
        <v>600000</v>
      </c>
      <c r="H254" s="134">
        <f t="shared" si="131"/>
        <v>30000</v>
      </c>
      <c r="I254" s="29">
        <f t="shared" si="131"/>
        <v>30000</v>
      </c>
      <c r="M254" s="258"/>
      <c r="N254" s="258"/>
      <c r="O254" s="162"/>
      <c r="AE254" s="54"/>
      <c r="AF254" s="54"/>
    </row>
    <row r="255" spans="1:32" ht="30">
      <c r="A255" s="144">
        <v>239</v>
      </c>
      <c r="B255" s="143" t="s">
        <v>45</v>
      </c>
      <c r="C255" s="34" t="s">
        <v>153</v>
      </c>
      <c r="D255" s="34" t="s">
        <v>108</v>
      </c>
      <c r="E255" s="34" t="s">
        <v>469</v>
      </c>
      <c r="F255" s="144">
        <v>810</v>
      </c>
      <c r="G255" s="134">
        <f>30000+570000</f>
        <v>600000</v>
      </c>
      <c r="H255" s="134">
        <v>30000</v>
      </c>
      <c r="I255" s="157">
        <v>30000</v>
      </c>
      <c r="J255" s="246"/>
      <c r="M255" s="258"/>
      <c r="N255" s="258"/>
      <c r="O255" s="162"/>
      <c r="AE255" s="54"/>
      <c r="AF255" s="54"/>
    </row>
    <row r="256" spans="1:32" ht="30">
      <c r="A256" s="144">
        <v>240</v>
      </c>
      <c r="B256" s="310" t="s">
        <v>57</v>
      </c>
      <c r="C256" s="34" t="s">
        <v>153</v>
      </c>
      <c r="D256" s="34" t="s">
        <v>108</v>
      </c>
      <c r="E256" s="34" t="s">
        <v>470</v>
      </c>
      <c r="F256" s="144"/>
      <c r="G256" s="134">
        <f>G257</f>
        <v>1361250</v>
      </c>
      <c r="H256" s="134">
        <f t="shared" ref="H256:I259" si="132">H257</f>
        <v>0</v>
      </c>
      <c r="I256" s="29">
        <f t="shared" si="132"/>
        <v>0</v>
      </c>
      <c r="M256" s="258"/>
      <c r="N256" s="258"/>
      <c r="O256" s="162"/>
      <c r="AE256" s="54"/>
      <c r="AF256" s="54"/>
    </row>
    <row r="257" spans="1:32" ht="30">
      <c r="A257" s="144">
        <v>241</v>
      </c>
      <c r="B257" s="143" t="s">
        <v>143</v>
      </c>
      <c r="C257" s="34" t="s">
        <v>153</v>
      </c>
      <c r="D257" s="34" t="s">
        <v>108</v>
      </c>
      <c r="E257" s="34" t="s">
        <v>497</v>
      </c>
      <c r="F257" s="144"/>
      <c r="G257" s="134">
        <f>G258+G261</f>
        <v>1361250</v>
      </c>
      <c r="H257" s="134">
        <f t="shared" si="132"/>
        <v>0</v>
      </c>
      <c r="I257" s="29">
        <f t="shared" si="132"/>
        <v>0</v>
      </c>
      <c r="M257" s="258"/>
      <c r="N257" s="258"/>
      <c r="O257" s="162"/>
      <c r="AE257" s="54"/>
      <c r="AF257" s="54"/>
    </row>
    <row r="258" spans="1:32" ht="30">
      <c r="A258" s="144">
        <v>242</v>
      </c>
      <c r="B258" s="143" t="s">
        <v>525</v>
      </c>
      <c r="C258" s="34" t="s">
        <v>153</v>
      </c>
      <c r="D258" s="34" t="s">
        <v>108</v>
      </c>
      <c r="E258" s="34" t="s">
        <v>498</v>
      </c>
      <c r="F258" s="144"/>
      <c r="G258" s="134">
        <f>G259</f>
        <v>1261250</v>
      </c>
      <c r="H258" s="134">
        <f t="shared" si="132"/>
        <v>0</v>
      </c>
      <c r="I258" s="29">
        <f t="shared" si="132"/>
        <v>0</v>
      </c>
      <c r="M258" s="258"/>
      <c r="N258" s="258"/>
      <c r="O258" s="162"/>
      <c r="AE258" s="54"/>
      <c r="AF258" s="54"/>
    </row>
    <row r="259" spans="1:32">
      <c r="A259" s="144">
        <v>243</v>
      </c>
      <c r="B259" s="143" t="s">
        <v>20</v>
      </c>
      <c r="C259" s="34" t="s">
        <v>153</v>
      </c>
      <c r="D259" s="34" t="s">
        <v>108</v>
      </c>
      <c r="E259" s="34" t="s">
        <v>498</v>
      </c>
      <c r="F259" s="144">
        <v>200</v>
      </c>
      <c r="G259" s="134">
        <f>G260</f>
        <v>1261250</v>
      </c>
      <c r="H259" s="134">
        <f t="shared" si="132"/>
        <v>0</v>
      </c>
      <c r="I259" s="29">
        <f t="shared" si="132"/>
        <v>0</v>
      </c>
      <c r="M259" s="258"/>
      <c r="N259" s="258"/>
      <c r="O259" s="162"/>
      <c r="AE259" s="54"/>
      <c r="AF259" s="54"/>
    </row>
    <row r="260" spans="1:32">
      <c r="A260" s="144">
        <v>244</v>
      </c>
      <c r="B260" s="143" t="s">
        <v>21</v>
      </c>
      <c r="C260" s="34" t="s">
        <v>153</v>
      </c>
      <c r="D260" s="34" t="s">
        <v>108</v>
      </c>
      <c r="E260" s="34" t="s">
        <v>498</v>
      </c>
      <c r="F260" s="144">
        <v>240</v>
      </c>
      <c r="G260" s="134">
        <v>1261250</v>
      </c>
      <c r="H260" s="134">
        <v>0</v>
      </c>
      <c r="I260" s="157">
        <v>0</v>
      </c>
      <c r="M260" s="258"/>
      <c r="N260" s="258"/>
      <c r="O260" s="162"/>
      <c r="AE260" s="54"/>
      <c r="AF260" s="54"/>
    </row>
    <row r="261" spans="1:32" ht="84" customHeight="1">
      <c r="A261" s="144">
        <v>245</v>
      </c>
      <c r="B261" s="335" t="s">
        <v>605</v>
      </c>
      <c r="C261" s="34" t="s">
        <v>153</v>
      </c>
      <c r="D261" s="34" t="s">
        <v>108</v>
      </c>
      <c r="E261" s="34" t="s">
        <v>606</v>
      </c>
      <c r="F261" s="144"/>
      <c r="G261" s="134">
        <f>G262</f>
        <v>100000</v>
      </c>
      <c r="H261" s="134">
        <f t="shared" ref="H261:I262" si="133">H262</f>
        <v>0</v>
      </c>
      <c r="I261" s="29">
        <f t="shared" si="133"/>
        <v>0</v>
      </c>
      <c r="M261" s="258"/>
      <c r="N261" s="258"/>
      <c r="O261" s="162"/>
      <c r="AE261" s="54"/>
      <c r="AF261" s="54"/>
    </row>
    <row r="262" spans="1:32">
      <c r="A262" s="144">
        <v>246</v>
      </c>
      <c r="B262" s="143" t="s">
        <v>537</v>
      </c>
      <c r="C262" s="34" t="s">
        <v>153</v>
      </c>
      <c r="D262" s="34" t="s">
        <v>108</v>
      </c>
      <c r="E262" s="34" t="s">
        <v>606</v>
      </c>
      <c r="F262" s="144">
        <v>200</v>
      </c>
      <c r="G262" s="134">
        <f>G263</f>
        <v>100000</v>
      </c>
      <c r="H262" s="134">
        <f t="shared" si="133"/>
        <v>0</v>
      </c>
      <c r="I262" s="29">
        <f t="shared" si="133"/>
        <v>0</v>
      </c>
      <c r="M262" s="258"/>
      <c r="N262" s="258"/>
      <c r="O262" s="162"/>
      <c r="AE262" s="54"/>
      <c r="AF262" s="54"/>
    </row>
    <row r="263" spans="1:32">
      <c r="A263" s="144">
        <v>247</v>
      </c>
      <c r="B263" s="143" t="s">
        <v>538</v>
      </c>
      <c r="C263" s="34" t="s">
        <v>153</v>
      </c>
      <c r="D263" s="34" t="s">
        <v>108</v>
      </c>
      <c r="E263" s="34" t="s">
        <v>606</v>
      </c>
      <c r="F263" s="144">
        <v>240</v>
      </c>
      <c r="G263" s="134">
        <v>100000</v>
      </c>
      <c r="H263" s="134">
        <v>0</v>
      </c>
      <c r="I263" s="157">
        <v>0</v>
      </c>
      <c r="J263" s="294"/>
      <c r="M263" s="258"/>
      <c r="N263" s="258"/>
      <c r="O263" s="162"/>
      <c r="AE263" s="54"/>
      <c r="AF263" s="54"/>
    </row>
    <row r="264" spans="1:32">
      <c r="A264" s="144">
        <v>248</v>
      </c>
      <c r="B264" s="305" t="s">
        <v>109</v>
      </c>
      <c r="C264" s="34" t="s">
        <v>153</v>
      </c>
      <c r="D264" s="34" t="s">
        <v>110</v>
      </c>
      <c r="E264" s="34"/>
      <c r="F264" s="144"/>
      <c r="G264" s="134">
        <f>G273+G265</f>
        <v>72941200</v>
      </c>
      <c r="H264" s="134">
        <f t="shared" ref="H264:I264" si="134">H273+H265</f>
        <v>72850300</v>
      </c>
      <c r="I264" s="29">
        <f t="shared" si="134"/>
        <v>72850300</v>
      </c>
      <c r="M264" s="258"/>
      <c r="N264" s="258"/>
      <c r="O264" s="162"/>
      <c r="AE264" s="54"/>
      <c r="AF264" s="54"/>
    </row>
    <row r="265" spans="1:32">
      <c r="A265" s="144">
        <v>249</v>
      </c>
      <c r="B265" s="305" t="s">
        <v>371</v>
      </c>
      <c r="C265" s="34" t="s">
        <v>153</v>
      </c>
      <c r="D265" s="34" t="s">
        <v>372</v>
      </c>
      <c r="E265" s="34"/>
      <c r="F265" s="144"/>
      <c r="G265" s="134">
        <f t="shared" ref="G265:I269" si="135">G266</f>
        <v>190300</v>
      </c>
      <c r="H265" s="134">
        <f t="shared" si="135"/>
        <v>190300</v>
      </c>
      <c r="I265" s="29">
        <f t="shared" si="135"/>
        <v>190300</v>
      </c>
      <c r="M265" s="258"/>
      <c r="N265" s="258"/>
      <c r="O265" s="162"/>
      <c r="AE265" s="54"/>
      <c r="AF265" s="54"/>
    </row>
    <row r="266" spans="1:32" ht="30">
      <c r="A266" s="144">
        <v>250</v>
      </c>
      <c r="B266" s="310" t="s">
        <v>57</v>
      </c>
      <c r="C266" s="34" t="s">
        <v>153</v>
      </c>
      <c r="D266" s="34" t="s">
        <v>372</v>
      </c>
      <c r="E266" s="34">
        <v>1100000000</v>
      </c>
      <c r="F266" s="144"/>
      <c r="G266" s="134">
        <f t="shared" si="135"/>
        <v>190300</v>
      </c>
      <c r="H266" s="134">
        <f t="shared" si="135"/>
        <v>190300</v>
      </c>
      <c r="I266" s="29">
        <f t="shared" si="135"/>
        <v>190300</v>
      </c>
      <c r="M266" s="258"/>
      <c r="N266" s="258"/>
      <c r="O266" s="162"/>
      <c r="AE266" s="54"/>
      <c r="AF266" s="54"/>
    </row>
    <row r="267" spans="1:32" ht="45">
      <c r="A267" s="144">
        <v>251</v>
      </c>
      <c r="B267" s="306" t="s">
        <v>483</v>
      </c>
      <c r="C267" s="34" t="s">
        <v>153</v>
      </c>
      <c r="D267" s="34" t="s">
        <v>372</v>
      </c>
      <c r="E267" s="34">
        <v>1140000000</v>
      </c>
      <c r="F267" s="144"/>
      <c r="G267" s="134">
        <f>G268</f>
        <v>190300</v>
      </c>
      <c r="H267" s="134">
        <f t="shared" si="135"/>
        <v>190300</v>
      </c>
      <c r="I267" s="29">
        <f t="shared" si="135"/>
        <v>190300</v>
      </c>
      <c r="M267" s="258"/>
      <c r="N267" s="258"/>
      <c r="O267" s="162"/>
      <c r="AE267" s="54"/>
      <c r="AF267" s="54"/>
    </row>
    <row r="268" spans="1:32">
      <c r="A268" s="144">
        <v>252</v>
      </c>
      <c r="B268" s="306" t="s">
        <v>386</v>
      </c>
      <c r="C268" s="34" t="s">
        <v>153</v>
      </c>
      <c r="D268" s="34" t="s">
        <v>372</v>
      </c>
      <c r="E268" s="34">
        <v>1140092030</v>
      </c>
      <c r="F268" s="144"/>
      <c r="G268" s="134">
        <f>G269+G271</f>
        <v>190300</v>
      </c>
      <c r="H268" s="134">
        <f t="shared" ref="H268:I268" si="136">H269+H271</f>
        <v>190300</v>
      </c>
      <c r="I268" s="29">
        <f t="shared" si="136"/>
        <v>190300</v>
      </c>
      <c r="M268" s="258"/>
      <c r="N268" s="258"/>
      <c r="O268" s="162"/>
      <c r="AE268" s="54"/>
      <c r="AF268" s="54"/>
    </row>
    <row r="269" spans="1:32">
      <c r="A269" s="144">
        <v>253</v>
      </c>
      <c r="B269" s="143" t="s">
        <v>20</v>
      </c>
      <c r="C269" s="34" t="s">
        <v>153</v>
      </c>
      <c r="D269" s="34" t="s">
        <v>372</v>
      </c>
      <c r="E269" s="34">
        <v>1140092030</v>
      </c>
      <c r="F269" s="144">
        <v>200</v>
      </c>
      <c r="G269" s="134">
        <f t="shared" si="135"/>
        <v>179840</v>
      </c>
      <c r="H269" s="134">
        <f t="shared" si="135"/>
        <v>179840</v>
      </c>
      <c r="I269" s="29">
        <f t="shared" si="135"/>
        <v>179840</v>
      </c>
      <c r="M269" s="258"/>
      <c r="N269" s="258"/>
      <c r="O269" s="162"/>
      <c r="AE269" s="54"/>
      <c r="AF269" s="54"/>
    </row>
    <row r="270" spans="1:32">
      <c r="A270" s="144">
        <v>254</v>
      </c>
      <c r="B270" s="143" t="s">
        <v>21</v>
      </c>
      <c r="C270" s="34" t="s">
        <v>153</v>
      </c>
      <c r="D270" s="34" t="s">
        <v>372</v>
      </c>
      <c r="E270" s="34">
        <v>1140092030</v>
      </c>
      <c r="F270" s="144">
        <v>240</v>
      </c>
      <c r="G270" s="134">
        <v>179840</v>
      </c>
      <c r="H270" s="134">
        <v>179840</v>
      </c>
      <c r="I270" s="157">
        <v>179840</v>
      </c>
      <c r="M270" s="258"/>
      <c r="N270" s="258"/>
      <c r="O270" s="162"/>
      <c r="AE270" s="54"/>
      <c r="AF270" s="54"/>
    </row>
    <row r="271" spans="1:32">
      <c r="A271" s="144">
        <v>255</v>
      </c>
      <c r="B271" s="143" t="s">
        <v>32</v>
      </c>
      <c r="C271" s="34" t="s">
        <v>153</v>
      </c>
      <c r="D271" s="34" t="s">
        <v>372</v>
      </c>
      <c r="E271" s="34">
        <v>1140092030</v>
      </c>
      <c r="F271" s="144">
        <v>800</v>
      </c>
      <c r="G271" s="134">
        <f>G272</f>
        <v>10460</v>
      </c>
      <c r="H271" s="134">
        <f t="shared" ref="H271:I271" si="137">H272</f>
        <v>10460</v>
      </c>
      <c r="I271" s="29">
        <f t="shared" si="137"/>
        <v>10460</v>
      </c>
      <c r="M271" s="258"/>
      <c r="N271" s="258"/>
      <c r="O271" s="162"/>
      <c r="AE271" s="54"/>
      <c r="AF271" s="54"/>
    </row>
    <row r="272" spans="1:32">
      <c r="A272" s="144">
        <v>256</v>
      </c>
      <c r="B272" s="143" t="s">
        <v>80</v>
      </c>
      <c r="C272" s="34" t="s">
        <v>153</v>
      </c>
      <c r="D272" s="34" t="s">
        <v>372</v>
      </c>
      <c r="E272" s="34">
        <v>1140092030</v>
      </c>
      <c r="F272" s="144">
        <v>850</v>
      </c>
      <c r="G272" s="134">
        <v>10460</v>
      </c>
      <c r="H272" s="134">
        <v>10460</v>
      </c>
      <c r="I272" s="157">
        <v>10460</v>
      </c>
      <c r="M272" s="258"/>
      <c r="N272" s="258"/>
      <c r="O272" s="162"/>
      <c r="AE272" s="54"/>
      <c r="AF272" s="54"/>
    </row>
    <row r="273" spans="1:32">
      <c r="A273" s="144">
        <v>257</v>
      </c>
      <c r="B273" s="306" t="s">
        <v>51</v>
      </c>
      <c r="C273" s="34" t="s">
        <v>153</v>
      </c>
      <c r="D273" s="34" t="s">
        <v>112</v>
      </c>
      <c r="E273" s="34"/>
      <c r="F273" s="144"/>
      <c r="G273" s="134">
        <f>G274</f>
        <v>72750900</v>
      </c>
      <c r="H273" s="134">
        <f t="shared" ref="H273:I273" si="138">H274</f>
        <v>72660000</v>
      </c>
      <c r="I273" s="29">
        <f t="shared" si="138"/>
        <v>72660000</v>
      </c>
      <c r="M273" s="258"/>
      <c r="N273" s="258"/>
      <c r="O273" s="162"/>
      <c r="AE273" s="54"/>
      <c r="AF273" s="54"/>
    </row>
    <row r="274" spans="1:32" ht="30">
      <c r="A274" s="144">
        <v>258</v>
      </c>
      <c r="B274" s="306" t="s">
        <v>52</v>
      </c>
      <c r="C274" s="34" t="s">
        <v>153</v>
      </c>
      <c r="D274" s="34" t="s">
        <v>112</v>
      </c>
      <c r="E274" s="34" t="s">
        <v>171</v>
      </c>
      <c r="F274" s="144"/>
      <c r="G274" s="134">
        <f t="shared" ref="G274:I274" si="139">G275</f>
        <v>72750900</v>
      </c>
      <c r="H274" s="134">
        <f t="shared" si="139"/>
        <v>72660000</v>
      </c>
      <c r="I274" s="29">
        <f t="shared" si="139"/>
        <v>72660000</v>
      </c>
      <c r="M274" s="258"/>
      <c r="N274" s="258"/>
      <c r="O274" s="162"/>
      <c r="AE274" s="54"/>
      <c r="AF274" s="54"/>
    </row>
    <row r="275" spans="1:32">
      <c r="A275" s="144">
        <v>259</v>
      </c>
      <c r="B275" s="314" t="s">
        <v>39</v>
      </c>
      <c r="C275" s="34" t="s">
        <v>153</v>
      </c>
      <c r="D275" s="34" t="s">
        <v>112</v>
      </c>
      <c r="E275" s="34" t="s">
        <v>181</v>
      </c>
      <c r="F275" s="144"/>
      <c r="G275" s="134">
        <f t="shared" ref="G275:H275" si="140">G276+G279</f>
        <v>72750900</v>
      </c>
      <c r="H275" s="134">
        <f t="shared" si="140"/>
        <v>72660000</v>
      </c>
      <c r="I275" s="29">
        <f t="shared" ref="I275" si="141">I276+I279</f>
        <v>72660000</v>
      </c>
      <c r="M275" s="258"/>
      <c r="N275" s="258"/>
      <c r="O275" s="162"/>
      <c r="AE275" s="54"/>
      <c r="AF275" s="54"/>
    </row>
    <row r="276" spans="1:32" ht="45">
      <c r="A276" s="144">
        <v>260</v>
      </c>
      <c r="B276" s="315" t="s">
        <v>287</v>
      </c>
      <c r="C276" s="34" t="s">
        <v>153</v>
      </c>
      <c r="D276" s="34" t="s">
        <v>112</v>
      </c>
      <c r="E276" s="34" t="s">
        <v>182</v>
      </c>
      <c r="F276" s="144"/>
      <c r="G276" s="134">
        <f t="shared" ref="G276:I277" si="142">G277</f>
        <v>28196600</v>
      </c>
      <c r="H276" s="134">
        <f t="shared" si="142"/>
        <v>26739500</v>
      </c>
      <c r="I276" s="29">
        <f t="shared" si="142"/>
        <v>26739500</v>
      </c>
      <c r="M276" s="259"/>
      <c r="N276" s="257"/>
      <c r="O276" s="160"/>
      <c r="AE276" s="54"/>
      <c r="AF276" s="54"/>
    </row>
    <row r="277" spans="1:32">
      <c r="A277" s="144">
        <v>261</v>
      </c>
      <c r="B277" s="143" t="s">
        <v>32</v>
      </c>
      <c r="C277" s="34" t="s">
        <v>153</v>
      </c>
      <c r="D277" s="34" t="s">
        <v>112</v>
      </c>
      <c r="E277" s="34" t="s">
        <v>182</v>
      </c>
      <c r="F277" s="144">
        <v>800</v>
      </c>
      <c r="G277" s="134">
        <f t="shared" si="142"/>
        <v>28196600</v>
      </c>
      <c r="H277" s="134">
        <f t="shared" si="142"/>
        <v>26739500</v>
      </c>
      <c r="I277" s="29">
        <f t="shared" si="142"/>
        <v>26739500</v>
      </c>
      <c r="M277" s="258"/>
      <c r="N277" s="258"/>
      <c r="O277" s="162"/>
      <c r="AE277" s="54"/>
      <c r="AF277" s="54"/>
    </row>
    <row r="278" spans="1:32" ht="30">
      <c r="A278" s="144">
        <v>262</v>
      </c>
      <c r="B278" s="143" t="s">
        <v>45</v>
      </c>
      <c r="C278" s="34" t="s">
        <v>153</v>
      </c>
      <c r="D278" s="34" t="s">
        <v>112</v>
      </c>
      <c r="E278" s="34" t="s">
        <v>182</v>
      </c>
      <c r="F278" s="144">
        <v>810</v>
      </c>
      <c r="G278" s="317">
        <v>28196600</v>
      </c>
      <c r="H278" s="134">
        <v>26739500</v>
      </c>
      <c r="I278" s="157">
        <v>26739500</v>
      </c>
      <c r="M278" s="258"/>
      <c r="N278" s="258"/>
      <c r="O278" s="162"/>
      <c r="AE278" s="54"/>
      <c r="AF278" s="54"/>
    </row>
    <row r="279" spans="1:32">
      <c r="A279" s="144">
        <v>263</v>
      </c>
      <c r="B279" s="315" t="s">
        <v>270</v>
      </c>
      <c r="C279" s="34" t="s">
        <v>153</v>
      </c>
      <c r="D279" s="34" t="s">
        <v>112</v>
      </c>
      <c r="E279" s="34" t="s">
        <v>183</v>
      </c>
      <c r="F279" s="144"/>
      <c r="G279" s="134">
        <f t="shared" ref="G279:I280" si="143">G280</f>
        <v>44554300</v>
      </c>
      <c r="H279" s="134">
        <f t="shared" si="143"/>
        <v>45920500</v>
      </c>
      <c r="I279" s="29">
        <f t="shared" si="143"/>
        <v>45920500</v>
      </c>
      <c r="M279" s="258"/>
      <c r="N279" s="258"/>
      <c r="O279" s="162"/>
      <c r="AE279" s="54"/>
      <c r="AF279" s="54"/>
    </row>
    <row r="280" spans="1:32">
      <c r="A280" s="144">
        <v>264</v>
      </c>
      <c r="B280" s="143" t="s">
        <v>32</v>
      </c>
      <c r="C280" s="34" t="s">
        <v>153</v>
      </c>
      <c r="D280" s="34" t="s">
        <v>112</v>
      </c>
      <c r="E280" s="34" t="s">
        <v>183</v>
      </c>
      <c r="F280" s="144">
        <v>800</v>
      </c>
      <c r="G280" s="134">
        <f t="shared" si="143"/>
        <v>44554300</v>
      </c>
      <c r="H280" s="134">
        <f t="shared" si="143"/>
        <v>45920500</v>
      </c>
      <c r="I280" s="29">
        <f t="shared" si="143"/>
        <v>45920500</v>
      </c>
      <c r="M280" s="258"/>
      <c r="N280" s="258"/>
      <c r="O280" s="162"/>
      <c r="AE280" s="54"/>
      <c r="AF280" s="54"/>
    </row>
    <row r="281" spans="1:32" ht="30">
      <c r="A281" s="144">
        <v>265</v>
      </c>
      <c r="B281" s="143" t="s">
        <v>45</v>
      </c>
      <c r="C281" s="34" t="s">
        <v>153</v>
      </c>
      <c r="D281" s="34" t="s">
        <v>112</v>
      </c>
      <c r="E281" s="34" t="s">
        <v>183</v>
      </c>
      <c r="F281" s="144">
        <v>810</v>
      </c>
      <c r="G281" s="317">
        <v>44554300</v>
      </c>
      <c r="H281" s="317">
        <v>45920500</v>
      </c>
      <c r="I281" s="157">
        <v>45920500</v>
      </c>
      <c r="M281" s="258"/>
      <c r="N281" s="258"/>
      <c r="O281" s="162"/>
      <c r="AE281" s="54"/>
      <c r="AF281" s="54"/>
    </row>
    <row r="282" spans="1:32">
      <c r="A282" s="144">
        <v>266</v>
      </c>
      <c r="B282" s="307" t="s">
        <v>413</v>
      </c>
      <c r="C282" s="34" t="s">
        <v>153</v>
      </c>
      <c r="D282" s="34" t="s">
        <v>414</v>
      </c>
      <c r="E282" s="34"/>
      <c r="F282" s="144"/>
      <c r="G282" s="317">
        <f>G283+G291</f>
        <v>3096800</v>
      </c>
      <c r="H282" s="317">
        <f t="shared" ref="H282:I282" si="144">H283+H291</f>
        <v>5479500</v>
      </c>
      <c r="I282" s="32">
        <f t="shared" si="144"/>
        <v>5479500</v>
      </c>
      <c r="M282" s="258"/>
      <c r="N282" s="258"/>
      <c r="O282" s="162"/>
      <c r="AE282" s="54"/>
      <c r="AF282" s="54"/>
    </row>
    <row r="283" spans="1:32">
      <c r="A283" s="144">
        <v>267</v>
      </c>
      <c r="B283" s="307" t="s">
        <v>417</v>
      </c>
      <c r="C283" s="34" t="s">
        <v>153</v>
      </c>
      <c r="D283" s="34" t="s">
        <v>415</v>
      </c>
      <c r="E283" s="34"/>
      <c r="F283" s="144"/>
      <c r="G283" s="317">
        <f t="shared" ref="G283:I284" si="145">G284</f>
        <v>596800</v>
      </c>
      <c r="H283" s="317">
        <f t="shared" si="145"/>
        <v>479500</v>
      </c>
      <c r="I283" s="32">
        <f t="shared" si="145"/>
        <v>479500</v>
      </c>
      <c r="M283" s="258"/>
      <c r="N283" s="258"/>
      <c r="O283" s="162"/>
      <c r="AE283" s="54"/>
      <c r="AF283" s="54"/>
    </row>
    <row r="284" spans="1:32" ht="30">
      <c r="A284" s="144">
        <v>268</v>
      </c>
      <c r="B284" s="308" t="s">
        <v>492</v>
      </c>
      <c r="C284" s="34" t="s">
        <v>153</v>
      </c>
      <c r="D284" s="34" t="s">
        <v>415</v>
      </c>
      <c r="E284" s="34" t="s">
        <v>493</v>
      </c>
      <c r="F284" s="144"/>
      <c r="G284" s="134">
        <f>G285</f>
        <v>596800</v>
      </c>
      <c r="H284" s="134">
        <f t="shared" si="145"/>
        <v>479500</v>
      </c>
      <c r="I284" s="29">
        <f t="shared" si="145"/>
        <v>479500</v>
      </c>
      <c r="M284" s="258"/>
      <c r="N284" s="258"/>
      <c r="O284" s="162"/>
      <c r="AE284" s="54"/>
      <c r="AF284" s="54"/>
    </row>
    <row r="285" spans="1:32" ht="30">
      <c r="A285" s="144">
        <v>269</v>
      </c>
      <c r="B285" s="308" t="s">
        <v>494</v>
      </c>
      <c r="C285" s="34" t="s">
        <v>153</v>
      </c>
      <c r="D285" s="34" t="s">
        <v>415</v>
      </c>
      <c r="E285" s="34" t="s">
        <v>495</v>
      </c>
      <c r="F285" s="144"/>
      <c r="G285" s="134">
        <f t="shared" ref="G285:I289" si="146">G286</f>
        <v>596800</v>
      </c>
      <c r="H285" s="134">
        <f t="shared" si="146"/>
        <v>479500</v>
      </c>
      <c r="I285" s="29">
        <f t="shared" si="146"/>
        <v>479500</v>
      </c>
      <c r="M285" s="258"/>
      <c r="N285" s="258"/>
      <c r="O285" s="247"/>
      <c r="AE285" s="54"/>
      <c r="AF285" s="54"/>
    </row>
    <row r="286" spans="1:32" ht="84" customHeight="1">
      <c r="A286" s="144">
        <v>270</v>
      </c>
      <c r="B286" s="315" t="s">
        <v>600</v>
      </c>
      <c r="C286" s="34" t="s">
        <v>153</v>
      </c>
      <c r="D286" s="34" t="s">
        <v>415</v>
      </c>
      <c r="E286" s="34" t="s">
        <v>496</v>
      </c>
      <c r="F286" s="144"/>
      <c r="G286" s="134">
        <f t="shared" ref="G286:H286" si="147">G287+G289</f>
        <v>596800</v>
      </c>
      <c r="H286" s="134">
        <f t="shared" si="147"/>
        <v>479500</v>
      </c>
      <c r="I286" s="29">
        <f t="shared" ref="I286" si="148">I287+I289</f>
        <v>479500</v>
      </c>
      <c r="M286" s="258"/>
      <c r="N286" s="258"/>
      <c r="O286" s="162"/>
      <c r="AE286" s="54"/>
      <c r="AF286" s="54"/>
    </row>
    <row r="287" spans="1:32" ht="45">
      <c r="A287" s="144">
        <v>271</v>
      </c>
      <c r="B287" s="143" t="s">
        <v>15</v>
      </c>
      <c r="C287" s="34" t="s">
        <v>153</v>
      </c>
      <c r="D287" s="34" t="s">
        <v>415</v>
      </c>
      <c r="E287" s="34" t="s">
        <v>496</v>
      </c>
      <c r="F287" s="144">
        <v>100</v>
      </c>
      <c r="G287" s="134">
        <f t="shared" ref="G287:I287" si="149">G288</f>
        <v>104234</v>
      </c>
      <c r="H287" s="134">
        <f t="shared" si="149"/>
        <v>95835</v>
      </c>
      <c r="I287" s="29">
        <f t="shared" si="149"/>
        <v>95835</v>
      </c>
      <c r="M287" s="258"/>
      <c r="N287" s="258"/>
      <c r="O287" s="162"/>
      <c r="AE287" s="54"/>
      <c r="AF287" s="54"/>
    </row>
    <row r="288" spans="1:32">
      <c r="A288" s="144">
        <v>272</v>
      </c>
      <c r="B288" s="143" t="s">
        <v>16</v>
      </c>
      <c r="C288" s="34" t="s">
        <v>153</v>
      </c>
      <c r="D288" s="34" t="s">
        <v>415</v>
      </c>
      <c r="E288" s="34" t="s">
        <v>496</v>
      </c>
      <c r="F288" s="144">
        <v>120</v>
      </c>
      <c r="G288" s="134">
        <f>95835+8400-1</f>
        <v>104234</v>
      </c>
      <c r="H288" s="134">
        <v>95835</v>
      </c>
      <c r="I288" s="157">
        <v>95835</v>
      </c>
      <c r="J288" s="246"/>
      <c r="M288" s="258"/>
      <c r="N288" s="258"/>
      <c r="O288" s="162"/>
      <c r="AE288" s="54"/>
      <c r="AF288" s="54"/>
    </row>
    <row r="289" spans="1:32">
      <c r="A289" s="144">
        <v>273</v>
      </c>
      <c r="B289" s="143" t="s">
        <v>20</v>
      </c>
      <c r="C289" s="34" t="s">
        <v>153</v>
      </c>
      <c r="D289" s="34" t="s">
        <v>415</v>
      </c>
      <c r="E289" s="34" t="s">
        <v>496</v>
      </c>
      <c r="F289" s="144">
        <v>200</v>
      </c>
      <c r="G289" s="134">
        <f t="shared" si="146"/>
        <v>492566</v>
      </c>
      <c r="H289" s="134">
        <f t="shared" si="146"/>
        <v>383665</v>
      </c>
      <c r="I289" s="29">
        <f t="shared" si="146"/>
        <v>383665</v>
      </c>
      <c r="M289" s="258"/>
      <c r="N289" s="258"/>
      <c r="O289" s="162"/>
      <c r="AE289" s="54"/>
      <c r="AF289" s="54"/>
    </row>
    <row r="290" spans="1:32">
      <c r="A290" s="144">
        <v>274</v>
      </c>
      <c r="B290" s="143" t="s">
        <v>21</v>
      </c>
      <c r="C290" s="34" t="s">
        <v>153</v>
      </c>
      <c r="D290" s="34" t="s">
        <v>415</v>
      </c>
      <c r="E290" s="34" t="s">
        <v>496</v>
      </c>
      <c r="F290" s="144">
        <v>240</v>
      </c>
      <c r="G290" s="134">
        <f>492565+1</f>
        <v>492566</v>
      </c>
      <c r="H290" s="134">
        <v>383665</v>
      </c>
      <c r="I290" s="157">
        <v>383665</v>
      </c>
      <c r="J290" s="246"/>
      <c r="M290" s="258"/>
      <c r="N290" s="258"/>
      <c r="O290" s="162"/>
      <c r="AE290" s="54"/>
      <c r="AF290" s="54"/>
    </row>
    <row r="291" spans="1:32">
      <c r="A291" s="144">
        <v>275</v>
      </c>
      <c r="B291" s="318" t="s">
        <v>420</v>
      </c>
      <c r="C291" s="34" t="s">
        <v>153</v>
      </c>
      <c r="D291" s="34" t="s">
        <v>421</v>
      </c>
      <c r="E291" s="34"/>
      <c r="F291" s="144"/>
      <c r="G291" s="134">
        <f>G292+G295+G298+G301</f>
        <v>2500000</v>
      </c>
      <c r="H291" s="134">
        <f t="shared" ref="H291:I291" si="150">H292+H295+H298+H301</f>
        <v>5000000</v>
      </c>
      <c r="I291" s="29">
        <f t="shared" si="150"/>
        <v>5000000</v>
      </c>
      <c r="M291" s="258"/>
      <c r="N291" s="258"/>
      <c r="O291" s="162"/>
      <c r="AE291" s="54"/>
      <c r="AF291" s="54"/>
    </row>
    <row r="292" spans="1:32" ht="75">
      <c r="A292" s="144">
        <v>276</v>
      </c>
      <c r="B292" s="307" t="s">
        <v>601</v>
      </c>
      <c r="C292" s="34" t="s">
        <v>153</v>
      </c>
      <c r="D292" s="34" t="s">
        <v>421</v>
      </c>
      <c r="E292" s="34" t="s">
        <v>524</v>
      </c>
      <c r="F292" s="144"/>
      <c r="G292" s="134">
        <f>G293</f>
        <v>0</v>
      </c>
      <c r="H292" s="134">
        <f t="shared" ref="H292:I293" si="151">H293</f>
        <v>0</v>
      </c>
      <c r="I292" s="29">
        <f t="shared" si="151"/>
        <v>0</v>
      </c>
      <c r="M292" s="258"/>
      <c r="N292" s="258"/>
      <c r="O292" s="162"/>
      <c r="AE292" s="54"/>
      <c r="AF292" s="54"/>
    </row>
    <row r="293" spans="1:32">
      <c r="A293" s="144">
        <v>277</v>
      </c>
      <c r="B293" s="143" t="s">
        <v>20</v>
      </c>
      <c r="C293" s="34" t="s">
        <v>153</v>
      </c>
      <c r="D293" s="34" t="s">
        <v>421</v>
      </c>
      <c r="E293" s="34" t="s">
        <v>524</v>
      </c>
      <c r="F293" s="144">
        <v>200</v>
      </c>
      <c r="G293" s="134">
        <f>G294</f>
        <v>0</v>
      </c>
      <c r="H293" s="134">
        <f t="shared" si="151"/>
        <v>0</v>
      </c>
      <c r="I293" s="29">
        <f t="shared" si="151"/>
        <v>0</v>
      </c>
      <c r="M293" s="258"/>
      <c r="N293" s="258"/>
      <c r="O293" s="162"/>
      <c r="AE293" s="54"/>
      <c r="AF293" s="54"/>
    </row>
    <row r="294" spans="1:32">
      <c r="A294" s="144">
        <v>278</v>
      </c>
      <c r="B294" s="143" t="s">
        <v>21</v>
      </c>
      <c r="C294" s="34" t="s">
        <v>153</v>
      </c>
      <c r="D294" s="34" t="s">
        <v>421</v>
      </c>
      <c r="E294" s="34" t="s">
        <v>524</v>
      </c>
      <c r="F294" s="144">
        <v>240</v>
      </c>
      <c r="G294" s="134">
        <f>100000-100000</f>
        <v>0</v>
      </c>
      <c r="H294" s="134">
        <v>0</v>
      </c>
      <c r="I294" s="157">
        <v>0</v>
      </c>
      <c r="J294" s="294"/>
      <c r="M294" s="258"/>
      <c r="N294" s="258"/>
      <c r="O294" s="162"/>
      <c r="AE294" s="54"/>
      <c r="AF294" s="54"/>
    </row>
    <row r="295" spans="1:32" ht="75">
      <c r="A295" s="144">
        <v>279</v>
      </c>
      <c r="B295" s="143" t="s">
        <v>602</v>
      </c>
      <c r="C295" s="34" t="s">
        <v>153</v>
      </c>
      <c r="D295" s="34" t="s">
        <v>421</v>
      </c>
      <c r="E295" s="34" t="s">
        <v>528</v>
      </c>
      <c r="F295" s="144"/>
      <c r="G295" s="134">
        <f>G296</f>
        <v>0</v>
      </c>
      <c r="H295" s="134">
        <f t="shared" ref="H295:I296" si="152">H296</f>
        <v>0</v>
      </c>
      <c r="I295" s="29">
        <f t="shared" si="152"/>
        <v>0</v>
      </c>
      <c r="M295" s="258"/>
      <c r="N295" s="258"/>
      <c r="O295" s="162"/>
      <c r="AE295" s="54"/>
      <c r="AF295" s="54"/>
    </row>
    <row r="296" spans="1:32">
      <c r="A296" s="144">
        <v>280</v>
      </c>
      <c r="B296" s="143" t="s">
        <v>20</v>
      </c>
      <c r="C296" s="34" t="s">
        <v>153</v>
      </c>
      <c r="D296" s="34" t="s">
        <v>421</v>
      </c>
      <c r="E296" s="34" t="s">
        <v>528</v>
      </c>
      <c r="F296" s="144">
        <v>200</v>
      </c>
      <c r="G296" s="134">
        <f>G297</f>
        <v>0</v>
      </c>
      <c r="H296" s="134">
        <f t="shared" si="152"/>
        <v>0</v>
      </c>
      <c r="I296" s="29">
        <f t="shared" si="152"/>
        <v>0</v>
      </c>
      <c r="M296" s="258"/>
      <c r="N296" s="258"/>
      <c r="O296" s="162"/>
      <c r="AE296" s="54"/>
      <c r="AF296" s="54"/>
    </row>
    <row r="297" spans="1:32">
      <c r="A297" s="144">
        <v>281</v>
      </c>
      <c r="B297" s="143" t="s">
        <v>21</v>
      </c>
      <c r="C297" s="34" t="s">
        <v>153</v>
      </c>
      <c r="D297" s="34" t="s">
        <v>421</v>
      </c>
      <c r="E297" s="34" t="s">
        <v>528</v>
      </c>
      <c r="F297" s="144">
        <v>240</v>
      </c>
      <c r="G297" s="134">
        <f>5000000-2500000-2500000</f>
        <v>0</v>
      </c>
      <c r="H297" s="134">
        <v>0</v>
      </c>
      <c r="I297" s="157">
        <v>0</v>
      </c>
      <c r="J297" s="276"/>
      <c r="M297" s="258"/>
      <c r="N297" s="258"/>
      <c r="O297" s="162"/>
      <c r="AE297" s="54"/>
      <c r="AF297" s="54"/>
    </row>
    <row r="298" spans="1:32" ht="58.5" customHeight="1">
      <c r="A298" s="144">
        <v>282</v>
      </c>
      <c r="B298" s="143" t="s">
        <v>603</v>
      </c>
      <c r="C298" s="34" t="s">
        <v>153</v>
      </c>
      <c r="D298" s="34" t="s">
        <v>421</v>
      </c>
      <c r="E298" s="34" t="s">
        <v>529</v>
      </c>
      <c r="F298" s="144"/>
      <c r="G298" s="134">
        <f>G299</f>
        <v>0</v>
      </c>
      <c r="H298" s="134">
        <f t="shared" ref="H298:I299" si="153">H299</f>
        <v>5000000</v>
      </c>
      <c r="I298" s="29">
        <f t="shared" si="153"/>
        <v>0</v>
      </c>
      <c r="M298" s="258"/>
      <c r="N298" s="258"/>
      <c r="O298" s="162"/>
      <c r="AE298" s="54"/>
      <c r="AF298" s="54"/>
    </row>
    <row r="299" spans="1:32">
      <c r="A299" s="144">
        <v>283</v>
      </c>
      <c r="B299" s="143" t="s">
        <v>20</v>
      </c>
      <c r="C299" s="34" t="s">
        <v>153</v>
      </c>
      <c r="D299" s="34" t="s">
        <v>421</v>
      </c>
      <c r="E299" s="34" t="s">
        <v>529</v>
      </c>
      <c r="F299" s="144">
        <v>200</v>
      </c>
      <c r="G299" s="134">
        <f>G300</f>
        <v>0</v>
      </c>
      <c r="H299" s="134">
        <f t="shared" si="153"/>
        <v>5000000</v>
      </c>
      <c r="I299" s="29">
        <f t="shared" si="153"/>
        <v>0</v>
      </c>
      <c r="M299" s="258"/>
      <c r="N299" s="258"/>
      <c r="O299" s="162"/>
      <c r="AE299" s="54"/>
      <c r="AF299" s="54"/>
    </row>
    <row r="300" spans="1:32">
      <c r="A300" s="144">
        <v>284</v>
      </c>
      <c r="B300" s="143" t="s">
        <v>21</v>
      </c>
      <c r="C300" s="34" t="s">
        <v>153</v>
      </c>
      <c r="D300" s="34" t="s">
        <v>421</v>
      </c>
      <c r="E300" s="34" t="s">
        <v>529</v>
      </c>
      <c r="F300" s="144">
        <v>240</v>
      </c>
      <c r="G300" s="134">
        <v>0</v>
      </c>
      <c r="H300" s="134">
        <v>5000000</v>
      </c>
      <c r="I300" s="157"/>
      <c r="M300" s="258"/>
      <c r="N300" s="258"/>
      <c r="O300" s="162"/>
      <c r="AE300" s="54"/>
      <c r="AF300" s="54"/>
    </row>
    <row r="301" spans="1:32" ht="78" customHeight="1">
      <c r="A301" s="144">
        <v>285</v>
      </c>
      <c r="B301" s="143" t="s">
        <v>599</v>
      </c>
      <c r="C301" s="34" t="s">
        <v>153</v>
      </c>
      <c r="D301" s="34" t="s">
        <v>421</v>
      </c>
      <c r="E301" s="34" t="s">
        <v>530</v>
      </c>
      <c r="F301" s="144"/>
      <c r="G301" s="134">
        <f>G302</f>
        <v>2500000</v>
      </c>
      <c r="H301" s="134">
        <f t="shared" ref="H301:I302" si="154">H302</f>
        <v>0</v>
      </c>
      <c r="I301" s="29">
        <f t="shared" si="154"/>
        <v>5000000</v>
      </c>
      <c r="M301" s="258"/>
      <c r="N301" s="258"/>
      <c r="O301" s="162"/>
      <c r="AE301" s="54"/>
      <c r="AF301" s="54"/>
    </row>
    <row r="302" spans="1:32">
      <c r="A302" s="144">
        <v>286</v>
      </c>
      <c r="B302" s="143" t="s">
        <v>20</v>
      </c>
      <c r="C302" s="34" t="s">
        <v>153</v>
      </c>
      <c r="D302" s="34" t="s">
        <v>421</v>
      </c>
      <c r="E302" s="34" t="s">
        <v>530</v>
      </c>
      <c r="F302" s="144">
        <v>200</v>
      </c>
      <c r="G302" s="134">
        <f>G303</f>
        <v>2500000</v>
      </c>
      <c r="H302" s="134">
        <f t="shared" si="154"/>
        <v>0</v>
      </c>
      <c r="I302" s="29">
        <f t="shared" si="154"/>
        <v>5000000</v>
      </c>
      <c r="M302" s="258"/>
      <c r="N302" s="258"/>
      <c r="O302" s="162"/>
      <c r="AE302" s="54"/>
      <c r="AF302" s="54"/>
    </row>
    <row r="303" spans="1:32">
      <c r="A303" s="144">
        <v>287</v>
      </c>
      <c r="B303" s="143" t="s">
        <v>21</v>
      </c>
      <c r="C303" s="34" t="s">
        <v>153</v>
      </c>
      <c r="D303" s="34" t="s">
        <v>421</v>
      </c>
      <c r="E303" s="34" t="s">
        <v>530</v>
      </c>
      <c r="F303" s="144">
        <v>240</v>
      </c>
      <c r="G303" s="134">
        <v>2500000</v>
      </c>
      <c r="H303" s="134">
        <v>0</v>
      </c>
      <c r="I303" s="157">
        <v>5000000</v>
      </c>
      <c r="J303" s="276"/>
      <c r="M303" s="258"/>
      <c r="N303" s="258"/>
      <c r="O303" s="162"/>
      <c r="AE303" s="54"/>
      <c r="AF303" s="54"/>
    </row>
    <row r="304" spans="1:32">
      <c r="A304" s="144">
        <v>288</v>
      </c>
      <c r="B304" s="305" t="s">
        <v>113</v>
      </c>
      <c r="C304" s="34" t="s">
        <v>153</v>
      </c>
      <c r="D304" s="34" t="s">
        <v>114</v>
      </c>
      <c r="E304" s="34"/>
      <c r="F304" s="144"/>
      <c r="G304" s="134">
        <f t="shared" ref="G304:I307" si="155">G305</f>
        <v>3923200</v>
      </c>
      <c r="H304" s="134">
        <f t="shared" si="155"/>
        <v>3670100</v>
      </c>
      <c r="I304" s="29">
        <f t="shared" si="155"/>
        <v>3670100</v>
      </c>
      <c r="M304" s="258"/>
      <c r="N304" s="258"/>
      <c r="O304" s="162"/>
      <c r="AE304" s="54"/>
      <c r="AF304" s="54"/>
    </row>
    <row r="305" spans="1:32">
      <c r="A305" s="144">
        <v>289</v>
      </c>
      <c r="B305" s="143" t="s">
        <v>53</v>
      </c>
      <c r="C305" s="34" t="s">
        <v>153</v>
      </c>
      <c r="D305" s="34" t="s">
        <v>119</v>
      </c>
      <c r="E305" s="34"/>
      <c r="F305" s="144"/>
      <c r="G305" s="134">
        <f t="shared" si="155"/>
        <v>3923200</v>
      </c>
      <c r="H305" s="134">
        <f t="shared" si="155"/>
        <v>3670100</v>
      </c>
      <c r="I305" s="29">
        <f t="shared" si="155"/>
        <v>3670100</v>
      </c>
      <c r="M305" s="258"/>
      <c r="N305" s="258"/>
      <c r="O305" s="162"/>
      <c r="AE305" s="54"/>
      <c r="AF305" s="54"/>
    </row>
    <row r="306" spans="1:32" ht="30">
      <c r="A306" s="144">
        <v>290</v>
      </c>
      <c r="B306" s="306" t="s">
        <v>54</v>
      </c>
      <c r="C306" s="34" t="s">
        <v>153</v>
      </c>
      <c r="D306" s="34" t="s">
        <v>119</v>
      </c>
      <c r="E306" s="34" t="s">
        <v>184</v>
      </c>
      <c r="F306" s="144"/>
      <c r="G306" s="134">
        <f t="shared" si="155"/>
        <v>3923200</v>
      </c>
      <c r="H306" s="134">
        <f t="shared" si="155"/>
        <v>3670100</v>
      </c>
      <c r="I306" s="29">
        <f t="shared" si="155"/>
        <v>3670100</v>
      </c>
      <c r="M306" s="258"/>
      <c r="N306" s="258"/>
      <c r="O306" s="162"/>
      <c r="AE306" s="54"/>
      <c r="AF306" s="54"/>
    </row>
    <row r="307" spans="1:32">
      <c r="A307" s="144">
        <v>291</v>
      </c>
      <c r="B307" s="306" t="s">
        <v>55</v>
      </c>
      <c r="C307" s="34" t="s">
        <v>153</v>
      </c>
      <c r="D307" s="34" t="s">
        <v>119</v>
      </c>
      <c r="E307" s="34" t="s">
        <v>185</v>
      </c>
      <c r="F307" s="144"/>
      <c r="G307" s="134">
        <f t="shared" si="155"/>
        <v>3923200</v>
      </c>
      <c r="H307" s="134">
        <f t="shared" si="155"/>
        <v>3670100</v>
      </c>
      <c r="I307" s="29">
        <f t="shared" si="155"/>
        <v>3670100</v>
      </c>
      <c r="M307" s="258"/>
      <c r="N307" s="258"/>
      <c r="O307" s="162"/>
      <c r="AE307" s="54"/>
      <c r="AF307" s="54"/>
    </row>
    <row r="308" spans="1:32" ht="45">
      <c r="A308" s="144">
        <v>292</v>
      </c>
      <c r="B308" s="315" t="s">
        <v>149</v>
      </c>
      <c r="C308" s="34" t="s">
        <v>153</v>
      </c>
      <c r="D308" s="34" t="s">
        <v>119</v>
      </c>
      <c r="E308" s="34" t="s">
        <v>186</v>
      </c>
      <c r="F308" s="144"/>
      <c r="G308" s="134">
        <f t="shared" ref="G308:H308" si="156">G309+G311</f>
        <v>3923200</v>
      </c>
      <c r="H308" s="134">
        <f t="shared" si="156"/>
        <v>3670100</v>
      </c>
      <c r="I308" s="29">
        <f t="shared" ref="I308" si="157">I309+I311</f>
        <v>3670100</v>
      </c>
      <c r="M308" s="258"/>
      <c r="N308" s="258"/>
      <c r="O308" s="247"/>
      <c r="AE308" s="54"/>
      <c r="AF308" s="54"/>
    </row>
    <row r="309" spans="1:32" ht="45">
      <c r="A309" s="144">
        <v>293</v>
      </c>
      <c r="B309" s="143" t="s">
        <v>15</v>
      </c>
      <c r="C309" s="34" t="s">
        <v>153</v>
      </c>
      <c r="D309" s="34" t="s">
        <v>119</v>
      </c>
      <c r="E309" s="34" t="s">
        <v>186</v>
      </c>
      <c r="F309" s="144">
        <v>100</v>
      </c>
      <c r="G309" s="134">
        <f t="shared" ref="G309:I309" si="158">G310</f>
        <v>3296980</v>
      </c>
      <c r="H309" s="134">
        <f t="shared" si="158"/>
        <v>2925014</v>
      </c>
      <c r="I309" s="29">
        <f t="shared" si="158"/>
        <v>2925014</v>
      </c>
      <c r="M309" s="258"/>
      <c r="N309" s="258"/>
      <c r="O309" s="162"/>
      <c r="AE309" s="54"/>
      <c r="AF309" s="54"/>
    </row>
    <row r="310" spans="1:32">
      <c r="A310" s="144">
        <v>294</v>
      </c>
      <c r="B310" s="143" t="s">
        <v>16</v>
      </c>
      <c r="C310" s="34" t="s">
        <v>153</v>
      </c>
      <c r="D310" s="34" t="s">
        <v>119</v>
      </c>
      <c r="E310" s="34" t="s">
        <v>186</v>
      </c>
      <c r="F310" s="144">
        <v>120</v>
      </c>
      <c r="G310" s="134">
        <f>2925014+253100+118866</f>
        <v>3296980</v>
      </c>
      <c r="H310" s="134">
        <v>2925014</v>
      </c>
      <c r="I310" s="157">
        <v>2925014</v>
      </c>
      <c r="J310" s="246"/>
      <c r="M310" s="258"/>
      <c r="N310" s="258"/>
      <c r="O310" s="162"/>
      <c r="AE310" s="54"/>
      <c r="AF310" s="54"/>
    </row>
    <row r="311" spans="1:32">
      <c r="A311" s="144">
        <v>295</v>
      </c>
      <c r="B311" s="143" t="s">
        <v>20</v>
      </c>
      <c r="C311" s="34" t="s">
        <v>153</v>
      </c>
      <c r="D311" s="34" t="s">
        <v>119</v>
      </c>
      <c r="E311" s="34" t="s">
        <v>186</v>
      </c>
      <c r="F311" s="144">
        <v>200</v>
      </c>
      <c r="G311" s="134">
        <f t="shared" ref="G311:I311" si="159">G312</f>
        <v>626220</v>
      </c>
      <c r="H311" s="134">
        <f t="shared" si="159"/>
        <v>745086</v>
      </c>
      <c r="I311" s="29">
        <f t="shared" si="159"/>
        <v>745086</v>
      </c>
      <c r="M311" s="258"/>
      <c r="N311" s="258"/>
      <c r="O311" s="162"/>
      <c r="AE311" s="54"/>
      <c r="AF311" s="54"/>
    </row>
    <row r="312" spans="1:32">
      <c r="A312" s="144">
        <v>296</v>
      </c>
      <c r="B312" s="143" t="s">
        <v>21</v>
      </c>
      <c r="C312" s="34" t="s">
        <v>153</v>
      </c>
      <c r="D312" s="34" t="s">
        <v>119</v>
      </c>
      <c r="E312" s="34" t="s">
        <v>186</v>
      </c>
      <c r="F312" s="144">
        <v>240</v>
      </c>
      <c r="G312" s="134">
        <f>745086-118866</f>
        <v>626220</v>
      </c>
      <c r="H312" s="134">
        <v>745086</v>
      </c>
      <c r="I312" s="157">
        <v>745086</v>
      </c>
      <c r="J312" s="246"/>
      <c r="M312" s="258"/>
      <c r="N312" s="258"/>
      <c r="O312" s="162"/>
      <c r="AE312" s="54"/>
      <c r="AF312" s="54"/>
    </row>
    <row r="313" spans="1:32">
      <c r="A313" s="144">
        <v>297</v>
      </c>
      <c r="B313" s="305" t="s">
        <v>124</v>
      </c>
      <c r="C313" s="34" t="s">
        <v>153</v>
      </c>
      <c r="D313" s="34" t="s">
        <v>125</v>
      </c>
      <c r="E313" s="34"/>
      <c r="F313" s="144"/>
      <c r="G313" s="134">
        <f t="shared" ref="G313:H313" si="160">G320+G326+G332+G314</f>
        <v>8133045.7199999997</v>
      </c>
      <c r="H313" s="134">
        <f t="shared" si="160"/>
        <v>8304436.2999999998</v>
      </c>
      <c r="I313" s="29">
        <f t="shared" ref="I313" si="161">I320+I326+I332+I314</f>
        <v>8116261.4399999995</v>
      </c>
      <c r="M313" s="258"/>
      <c r="N313" s="258"/>
      <c r="O313" s="162"/>
      <c r="AE313" s="54"/>
      <c r="AF313" s="54"/>
    </row>
    <row r="314" spans="1:32">
      <c r="A314" s="144">
        <v>298</v>
      </c>
      <c r="B314" s="305" t="s">
        <v>76</v>
      </c>
      <c r="C314" s="34" t="s">
        <v>153</v>
      </c>
      <c r="D314" s="34" t="s">
        <v>126</v>
      </c>
      <c r="E314" s="34"/>
      <c r="F314" s="144"/>
      <c r="G314" s="134">
        <f t="shared" ref="G314:I314" si="162">G315</f>
        <v>1300000</v>
      </c>
      <c r="H314" s="134">
        <f t="shared" si="162"/>
        <v>1300000</v>
      </c>
      <c r="I314" s="29">
        <f t="shared" si="162"/>
        <v>1300000</v>
      </c>
      <c r="M314" s="258"/>
      <c r="N314" s="258"/>
      <c r="O314" s="162"/>
      <c r="AE314" s="54"/>
      <c r="AF314" s="54"/>
    </row>
    <row r="315" spans="1:32">
      <c r="A315" s="144">
        <v>299</v>
      </c>
      <c r="B315" s="305" t="s">
        <v>308</v>
      </c>
      <c r="C315" s="34" t="s">
        <v>153</v>
      </c>
      <c r="D315" s="34" t="s">
        <v>126</v>
      </c>
      <c r="E315" s="34" t="s">
        <v>178</v>
      </c>
      <c r="F315" s="144"/>
      <c r="G315" s="134">
        <f t="shared" ref="G315:I318" si="163">G316</f>
        <v>1300000</v>
      </c>
      <c r="H315" s="134">
        <f t="shared" si="163"/>
        <v>1300000</v>
      </c>
      <c r="I315" s="29">
        <f t="shared" si="163"/>
        <v>1300000</v>
      </c>
      <c r="M315" s="258"/>
      <c r="N315" s="258"/>
      <c r="O315" s="162"/>
      <c r="AE315" s="54"/>
      <c r="AF315" s="54"/>
    </row>
    <row r="316" spans="1:32">
      <c r="A316" s="144">
        <v>300</v>
      </c>
      <c r="B316" s="305" t="s">
        <v>387</v>
      </c>
      <c r="C316" s="34" t="s">
        <v>153</v>
      </c>
      <c r="D316" s="34" t="s">
        <v>126</v>
      </c>
      <c r="E316" s="34" t="s">
        <v>383</v>
      </c>
      <c r="F316" s="144"/>
      <c r="G316" s="134">
        <f t="shared" si="163"/>
        <v>1300000</v>
      </c>
      <c r="H316" s="134">
        <f t="shared" si="163"/>
        <v>1300000</v>
      </c>
      <c r="I316" s="29">
        <f t="shared" si="163"/>
        <v>1300000</v>
      </c>
      <c r="M316" s="258"/>
      <c r="N316" s="258"/>
      <c r="O316" s="162"/>
      <c r="AE316" s="54"/>
      <c r="AF316" s="54"/>
    </row>
    <row r="317" spans="1:32" ht="60">
      <c r="A317" s="144">
        <v>301</v>
      </c>
      <c r="B317" s="316" t="s">
        <v>388</v>
      </c>
      <c r="C317" s="34" t="s">
        <v>153</v>
      </c>
      <c r="D317" s="34" t="s">
        <v>126</v>
      </c>
      <c r="E317" s="34" t="s">
        <v>389</v>
      </c>
      <c r="F317" s="144"/>
      <c r="G317" s="134">
        <f t="shared" si="163"/>
        <v>1300000</v>
      </c>
      <c r="H317" s="134">
        <f t="shared" si="163"/>
        <v>1300000</v>
      </c>
      <c r="I317" s="29">
        <f t="shared" si="163"/>
        <v>1300000</v>
      </c>
      <c r="M317" s="258"/>
      <c r="N317" s="258"/>
      <c r="O317" s="162"/>
      <c r="AE317" s="54"/>
      <c r="AF317" s="54"/>
    </row>
    <row r="318" spans="1:32">
      <c r="A318" s="144">
        <v>302</v>
      </c>
      <c r="B318" s="143" t="s">
        <v>77</v>
      </c>
      <c r="C318" s="34" t="s">
        <v>153</v>
      </c>
      <c r="D318" s="34" t="s">
        <v>126</v>
      </c>
      <c r="E318" s="34" t="s">
        <v>389</v>
      </c>
      <c r="F318" s="144">
        <v>300</v>
      </c>
      <c r="G318" s="134">
        <f t="shared" si="163"/>
        <v>1300000</v>
      </c>
      <c r="H318" s="134">
        <f t="shared" si="163"/>
        <v>1300000</v>
      </c>
      <c r="I318" s="29">
        <f t="shared" si="163"/>
        <v>1300000</v>
      </c>
      <c r="M318" s="258"/>
      <c r="N318" s="258"/>
      <c r="O318" s="162"/>
      <c r="AE318" s="54"/>
      <c r="AF318" s="54"/>
    </row>
    <row r="319" spans="1:32">
      <c r="A319" s="144">
        <v>303</v>
      </c>
      <c r="B319" s="305" t="s">
        <v>390</v>
      </c>
      <c r="C319" s="34" t="s">
        <v>153</v>
      </c>
      <c r="D319" s="34" t="s">
        <v>126</v>
      </c>
      <c r="E319" s="34" t="s">
        <v>389</v>
      </c>
      <c r="F319" s="144">
        <v>310</v>
      </c>
      <c r="G319" s="134">
        <v>1300000</v>
      </c>
      <c r="H319" s="134">
        <v>1300000</v>
      </c>
      <c r="I319" s="157">
        <v>1300000</v>
      </c>
      <c r="M319" s="258"/>
      <c r="N319" s="258"/>
      <c r="O319" s="162"/>
      <c r="AE319" s="54"/>
      <c r="AF319" s="54"/>
    </row>
    <row r="320" spans="1:32">
      <c r="A320" s="144">
        <v>304</v>
      </c>
      <c r="B320" s="143" t="s">
        <v>78</v>
      </c>
      <c r="C320" s="34" t="s">
        <v>153</v>
      </c>
      <c r="D320" s="34" t="s">
        <v>127</v>
      </c>
      <c r="E320" s="34"/>
      <c r="F320" s="144"/>
      <c r="G320" s="134">
        <f t="shared" ref="G320:I324" si="164">G321</f>
        <v>1571445.72</v>
      </c>
      <c r="H320" s="134">
        <f t="shared" si="164"/>
        <v>1853736.3</v>
      </c>
      <c r="I320" s="29">
        <f t="shared" si="164"/>
        <v>1821661.44</v>
      </c>
      <c r="M320" s="258"/>
      <c r="N320" s="258"/>
      <c r="O320" s="162"/>
      <c r="AE320" s="54"/>
      <c r="AF320" s="54"/>
    </row>
    <row r="321" spans="1:32" ht="30">
      <c r="A321" s="144">
        <v>305</v>
      </c>
      <c r="B321" s="310" t="s">
        <v>57</v>
      </c>
      <c r="C321" s="34" t="s">
        <v>153</v>
      </c>
      <c r="D321" s="34" t="s">
        <v>127</v>
      </c>
      <c r="E321" s="34">
        <v>1100000000</v>
      </c>
      <c r="F321" s="144"/>
      <c r="G321" s="134">
        <f t="shared" si="164"/>
        <v>1571445.72</v>
      </c>
      <c r="H321" s="134">
        <f t="shared" si="164"/>
        <v>1853736.3</v>
      </c>
      <c r="I321" s="29">
        <f t="shared" si="164"/>
        <v>1821661.44</v>
      </c>
      <c r="M321" s="258"/>
      <c r="N321" s="258"/>
      <c r="O321" s="162"/>
      <c r="AE321" s="54"/>
      <c r="AF321" s="54"/>
    </row>
    <row r="322" spans="1:32">
      <c r="A322" s="144">
        <v>306</v>
      </c>
      <c r="B322" s="310" t="s">
        <v>142</v>
      </c>
      <c r="C322" s="34" t="s">
        <v>153</v>
      </c>
      <c r="D322" s="34" t="s">
        <v>127</v>
      </c>
      <c r="E322" s="34">
        <v>1120000000</v>
      </c>
      <c r="F322" s="144"/>
      <c r="G322" s="134">
        <f t="shared" si="164"/>
        <v>1571445.72</v>
      </c>
      <c r="H322" s="134">
        <f t="shared" si="164"/>
        <v>1853736.3</v>
      </c>
      <c r="I322" s="29">
        <f t="shared" si="164"/>
        <v>1821661.44</v>
      </c>
      <c r="M322" s="258"/>
      <c r="N322" s="258"/>
      <c r="O322" s="162"/>
      <c r="AE322" s="54"/>
      <c r="AF322" s="54"/>
    </row>
    <row r="323" spans="1:32">
      <c r="A323" s="144">
        <v>307</v>
      </c>
      <c r="B323" s="306" t="s">
        <v>147</v>
      </c>
      <c r="C323" s="34" t="s">
        <v>153</v>
      </c>
      <c r="D323" s="34" t="s">
        <v>127</v>
      </c>
      <c r="E323" s="34" t="s">
        <v>271</v>
      </c>
      <c r="F323" s="144"/>
      <c r="G323" s="134">
        <f t="shared" si="164"/>
        <v>1571445.72</v>
      </c>
      <c r="H323" s="134">
        <f t="shared" si="164"/>
        <v>1853736.3</v>
      </c>
      <c r="I323" s="29">
        <f t="shared" si="164"/>
        <v>1821661.44</v>
      </c>
      <c r="M323" s="258"/>
      <c r="N323" s="258"/>
      <c r="O323" s="162"/>
      <c r="AE323" s="54"/>
      <c r="AF323" s="54"/>
    </row>
    <row r="324" spans="1:32">
      <c r="A324" s="144">
        <v>308</v>
      </c>
      <c r="B324" s="143" t="s">
        <v>77</v>
      </c>
      <c r="C324" s="34" t="s">
        <v>153</v>
      </c>
      <c r="D324" s="34" t="s">
        <v>127</v>
      </c>
      <c r="E324" s="34" t="s">
        <v>271</v>
      </c>
      <c r="F324" s="144">
        <v>300</v>
      </c>
      <c r="G324" s="134">
        <f t="shared" si="164"/>
        <v>1571445.72</v>
      </c>
      <c r="H324" s="134">
        <f t="shared" si="164"/>
        <v>1853736.3</v>
      </c>
      <c r="I324" s="29">
        <f t="shared" si="164"/>
        <v>1821661.44</v>
      </c>
      <c r="M324" s="258"/>
      <c r="N324" s="258"/>
      <c r="O324" s="162"/>
      <c r="AE324" s="54"/>
      <c r="AF324" s="54"/>
    </row>
    <row r="325" spans="1:32">
      <c r="A325" s="144">
        <v>309</v>
      </c>
      <c r="B325" s="143" t="s">
        <v>81</v>
      </c>
      <c r="C325" s="34" t="s">
        <v>153</v>
      </c>
      <c r="D325" s="34" t="s">
        <v>127</v>
      </c>
      <c r="E325" s="34" t="s">
        <v>271</v>
      </c>
      <c r="F325" s="144">
        <v>320</v>
      </c>
      <c r="G325" s="134">
        <f>700000+871445.72</f>
        <v>1571445.72</v>
      </c>
      <c r="H325" s="134">
        <f>700000+1153736.3</f>
        <v>1853736.3</v>
      </c>
      <c r="I325" s="157">
        <f>700000+1121661.44</f>
        <v>1821661.44</v>
      </c>
      <c r="J325" s="246"/>
      <c r="K325" s="246"/>
      <c r="L325" s="246"/>
      <c r="M325" s="258"/>
      <c r="N325" s="258"/>
      <c r="O325" s="162"/>
      <c r="AE325" s="54"/>
      <c r="AF325" s="54"/>
    </row>
    <row r="326" spans="1:32">
      <c r="A326" s="144">
        <v>310</v>
      </c>
      <c r="B326" s="314" t="s">
        <v>58</v>
      </c>
      <c r="C326" s="34" t="s">
        <v>153</v>
      </c>
      <c r="D326" s="34" t="s">
        <v>166</v>
      </c>
      <c r="E326" s="34"/>
      <c r="F326" s="144"/>
      <c r="G326" s="134">
        <f t="shared" ref="G326:I326" si="165">G327</f>
        <v>3290165.45</v>
      </c>
      <c r="H326" s="134">
        <f t="shared" si="165"/>
        <v>3277679.33</v>
      </c>
      <c r="I326" s="29">
        <f t="shared" si="165"/>
        <v>3121599.36</v>
      </c>
      <c r="M326" s="258"/>
      <c r="N326" s="258"/>
      <c r="O326" s="162"/>
      <c r="AE326" s="54"/>
      <c r="AF326" s="54"/>
    </row>
    <row r="327" spans="1:32" ht="30">
      <c r="A327" s="144">
        <v>311</v>
      </c>
      <c r="B327" s="310" t="s">
        <v>57</v>
      </c>
      <c r="C327" s="34" t="s">
        <v>153</v>
      </c>
      <c r="D327" s="34" t="s">
        <v>166</v>
      </c>
      <c r="E327" s="34">
        <v>1100000000</v>
      </c>
      <c r="F327" s="144"/>
      <c r="G327" s="134">
        <f t="shared" ref="G327:I330" si="166">G328</f>
        <v>3290165.45</v>
      </c>
      <c r="H327" s="134">
        <f t="shared" si="166"/>
        <v>3277679.33</v>
      </c>
      <c r="I327" s="29">
        <f t="shared" si="166"/>
        <v>3121599.36</v>
      </c>
      <c r="M327" s="258"/>
      <c r="N327" s="258"/>
      <c r="O327" s="162"/>
      <c r="AE327" s="54"/>
      <c r="AF327" s="54"/>
    </row>
    <row r="328" spans="1:32" ht="30">
      <c r="A328" s="144">
        <v>312</v>
      </c>
      <c r="B328" s="306" t="s">
        <v>154</v>
      </c>
      <c r="C328" s="34" t="s">
        <v>153</v>
      </c>
      <c r="D328" s="34" t="s">
        <v>166</v>
      </c>
      <c r="E328" s="34">
        <v>1150000000</v>
      </c>
      <c r="F328" s="144"/>
      <c r="G328" s="134">
        <f t="shared" si="166"/>
        <v>3290165.45</v>
      </c>
      <c r="H328" s="134">
        <f t="shared" si="166"/>
        <v>3277679.33</v>
      </c>
      <c r="I328" s="29">
        <f t="shared" si="166"/>
        <v>3121599.36</v>
      </c>
      <c r="M328" s="258"/>
      <c r="N328" s="258"/>
      <c r="O328" s="162"/>
      <c r="AE328" s="54"/>
      <c r="AF328" s="54"/>
    </row>
    <row r="329" spans="1:32" ht="45">
      <c r="A329" s="144">
        <v>313</v>
      </c>
      <c r="B329" s="306" t="s">
        <v>378</v>
      </c>
      <c r="C329" s="34" t="s">
        <v>153</v>
      </c>
      <c r="D329" s="34" t="s">
        <v>166</v>
      </c>
      <c r="E329" s="34">
        <v>1150075870</v>
      </c>
      <c r="F329" s="144"/>
      <c r="G329" s="134">
        <f t="shared" si="166"/>
        <v>3290165.45</v>
      </c>
      <c r="H329" s="134">
        <f t="shared" si="166"/>
        <v>3277679.33</v>
      </c>
      <c r="I329" s="29">
        <f t="shared" si="166"/>
        <v>3121599.36</v>
      </c>
      <c r="M329" s="258"/>
      <c r="N329" s="258"/>
      <c r="O329" s="162"/>
      <c r="AE329" s="54"/>
      <c r="AF329" s="54"/>
    </row>
    <row r="330" spans="1:32" ht="30">
      <c r="A330" s="144">
        <v>314</v>
      </c>
      <c r="B330" s="307" t="s">
        <v>155</v>
      </c>
      <c r="C330" s="34" t="s">
        <v>153</v>
      </c>
      <c r="D330" s="34" t="s">
        <v>166</v>
      </c>
      <c r="E330" s="34">
        <v>1150075870</v>
      </c>
      <c r="F330" s="144">
        <v>400</v>
      </c>
      <c r="G330" s="134">
        <f t="shared" si="166"/>
        <v>3290165.45</v>
      </c>
      <c r="H330" s="134">
        <f t="shared" si="166"/>
        <v>3277679.33</v>
      </c>
      <c r="I330" s="29">
        <f t="shared" si="166"/>
        <v>3121599.36</v>
      </c>
      <c r="M330" s="258"/>
      <c r="N330" s="258"/>
      <c r="O330" s="162"/>
      <c r="AE330" s="54"/>
      <c r="AF330" s="54"/>
    </row>
    <row r="331" spans="1:32">
      <c r="A331" s="144">
        <v>315</v>
      </c>
      <c r="B331" s="307" t="s">
        <v>156</v>
      </c>
      <c r="C331" s="34" t="s">
        <v>153</v>
      </c>
      <c r="D331" s="34" t="s">
        <v>166</v>
      </c>
      <c r="E331" s="34">
        <v>1150075870</v>
      </c>
      <c r="F331" s="144">
        <v>410</v>
      </c>
      <c r="G331" s="134">
        <f>3290200-34.55</f>
        <v>3290165.45</v>
      </c>
      <c r="H331" s="134">
        <f>3277700-20.67</f>
        <v>3277679.33</v>
      </c>
      <c r="I331" s="157">
        <f>3121600-0.64</f>
        <v>3121599.36</v>
      </c>
      <c r="J331" s="246"/>
      <c r="K331" s="246"/>
      <c r="L331" s="246"/>
      <c r="M331" s="258"/>
      <c r="N331" s="258"/>
      <c r="O331" s="162"/>
      <c r="AE331" s="54"/>
      <c r="AF331" s="54"/>
    </row>
    <row r="332" spans="1:32" ht="15.75">
      <c r="A332" s="144">
        <v>316</v>
      </c>
      <c r="B332" s="319" t="s">
        <v>79</v>
      </c>
      <c r="C332" s="34" t="s">
        <v>153</v>
      </c>
      <c r="D332" s="34" t="s">
        <v>128</v>
      </c>
      <c r="E332" s="34"/>
      <c r="F332" s="144"/>
      <c r="G332" s="134">
        <f>G333+G345+G355</f>
        <v>1971434.55</v>
      </c>
      <c r="H332" s="134">
        <f t="shared" ref="H332:I332" si="167">H333+H345+H355</f>
        <v>1873020.67</v>
      </c>
      <c r="I332" s="29">
        <f t="shared" si="167"/>
        <v>1873000.64</v>
      </c>
      <c r="M332" s="258"/>
      <c r="N332" s="258"/>
      <c r="O332" s="162"/>
      <c r="AE332" s="54"/>
      <c r="AF332" s="54"/>
    </row>
    <row r="333" spans="1:32">
      <c r="A333" s="144">
        <v>317</v>
      </c>
      <c r="B333" s="307" t="s">
        <v>255</v>
      </c>
      <c r="C333" s="34" t="s">
        <v>153</v>
      </c>
      <c r="D333" s="34" t="s">
        <v>128</v>
      </c>
      <c r="E333" s="34">
        <v>8500000000</v>
      </c>
      <c r="F333" s="144"/>
      <c r="G333" s="134">
        <f t="shared" ref="G333:I333" si="168">G334</f>
        <v>1249000</v>
      </c>
      <c r="H333" s="134">
        <f t="shared" si="168"/>
        <v>1160000</v>
      </c>
      <c r="I333" s="29">
        <f t="shared" si="168"/>
        <v>1160000</v>
      </c>
      <c r="M333" s="258"/>
      <c r="N333" s="258"/>
      <c r="O333" s="162"/>
      <c r="AE333" s="54"/>
      <c r="AF333" s="54"/>
    </row>
    <row r="334" spans="1:32">
      <c r="A334" s="144">
        <v>318</v>
      </c>
      <c r="B334" s="307" t="s">
        <v>256</v>
      </c>
      <c r="C334" s="34" t="s">
        <v>153</v>
      </c>
      <c r="D334" s="34" t="s">
        <v>128</v>
      </c>
      <c r="E334" s="34">
        <v>8510000000</v>
      </c>
      <c r="F334" s="144"/>
      <c r="G334" s="134">
        <f t="shared" ref="G334:I334" si="169">G335+G340</f>
        <v>1249000</v>
      </c>
      <c r="H334" s="134">
        <f t="shared" si="169"/>
        <v>1160000</v>
      </c>
      <c r="I334" s="29">
        <f t="shared" si="169"/>
        <v>1160000</v>
      </c>
      <c r="M334" s="258"/>
      <c r="N334" s="258"/>
      <c r="O334" s="162"/>
      <c r="AE334" s="54"/>
      <c r="AF334" s="54"/>
    </row>
    <row r="335" spans="1:32" ht="30">
      <c r="A335" s="144">
        <v>319</v>
      </c>
      <c r="B335" s="306" t="s">
        <v>385</v>
      </c>
      <c r="C335" s="34" t="s">
        <v>153</v>
      </c>
      <c r="D335" s="34" t="s">
        <v>128</v>
      </c>
      <c r="E335" s="34">
        <v>8510002890</v>
      </c>
      <c r="F335" s="144"/>
      <c r="G335" s="134">
        <f t="shared" ref="G335:H335" si="170">G336+G338</f>
        <v>1191200</v>
      </c>
      <c r="H335" s="134">
        <f t="shared" si="170"/>
        <v>1106800</v>
      </c>
      <c r="I335" s="29">
        <f t="shared" ref="I335" si="171">I336+I338</f>
        <v>1106800</v>
      </c>
      <c r="M335" s="258"/>
      <c r="N335" s="258"/>
      <c r="O335" s="247"/>
      <c r="AE335" s="54"/>
      <c r="AF335" s="54"/>
    </row>
    <row r="336" spans="1:32" ht="45">
      <c r="A336" s="144">
        <v>320</v>
      </c>
      <c r="B336" s="143" t="s">
        <v>15</v>
      </c>
      <c r="C336" s="34" t="s">
        <v>153</v>
      </c>
      <c r="D336" s="34" t="s">
        <v>128</v>
      </c>
      <c r="E336" s="34">
        <v>8510002890</v>
      </c>
      <c r="F336" s="144">
        <v>100</v>
      </c>
      <c r="G336" s="134">
        <f t="shared" ref="G336:I336" si="172">G337</f>
        <v>1042738.06</v>
      </c>
      <c r="H336" s="134">
        <f t="shared" si="172"/>
        <v>958338.06</v>
      </c>
      <c r="I336" s="29">
        <f t="shared" si="172"/>
        <v>958338.06</v>
      </c>
      <c r="M336" s="258"/>
      <c r="N336" s="258"/>
      <c r="O336" s="162"/>
      <c r="AE336" s="54"/>
      <c r="AF336" s="54"/>
    </row>
    <row r="337" spans="1:32">
      <c r="A337" s="144">
        <v>321</v>
      </c>
      <c r="B337" s="143" t="s">
        <v>16</v>
      </c>
      <c r="C337" s="34" t="s">
        <v>153</v>
      </c>
      <c r="D337" s="34" t="s">
        <v>128</v>
      </c>
      <c r="E337" s="34">
        <v>8510002890</v>
      </c>
      <c r="F337" s="144">
        <v>120</v>
      </c>
      <c r="G337" s="134">
        <f>958338.06+84400</f>
        <v>1042738.06</v>
      </c>
      <c r="H337" s="134">
        <v>958338.06</v>
      </c>
      <c r="I337" s="157">
        <v>958338.06</v>
      </c>
      <c r="M337" s="258"/>
      <c r="N337" s="258"/>
      <c r="O337" s="162"/>
      <c r="AE337" s="54"/>
      <c r="AF337" s="54"/>
    </row>
    <row r="338" spans="1:32">
      <c r="A338" s="144">
        <v>322</v>
      </c>
      <c r="B338" s="143" t="s">
        <v>20</v>
      </c>
      <c r="C338" s="34" t="s">
        <v>153</v>
      </c>
      <c r="D338" s="34" t="s">
        <v>128</v>
      </c>
      <c r="E338" s="34">
        <v>8510002890</v>
      </c>
      <c r="F338" s="144">
        <v>200</v>
      </c>
      <c r="G338" s="134">
        <f t="shared" ref="G338:I338" si="173">G339</f>
        <v>148461.94</v>
      </c>
      <c r="H338" s="134">
        <f t="shared" si="173"/>
        <v>148461.94</v>
      </c>
      <c r="I338" s="29">
        <f t="shared" si="173"/>
        <v>148461.94</v>
      </c>
      <c r="M338" s="258"/>
      <c r="N338" s="258"/>
      <c r="O338" s="162"/>
      <c r="AE338" s="54"/>
      <c r="AF338" s="54"/>
    </row>
    <row r="339" spans="1:32">
      <c r="A339" s="144">
        <v>323</v>
      </c>
      <c r="B339" s="143" t="s">
        <v>21</v>
      </c>
      <c r="C339" s="34" t="s">
        <v>153</v>
      </c>
      <c r="D339" s="34" t="s">
        <v>128</v>
      </c>
      <c r="E339" s="34">
        <v>8510002890</v>
      </c>
      <c r="F339" s="144">
        <v>240</v>
      </c>
      <c r="G339" s="134">
        <v>148461.94</v>
      </c>
      <c r="H339" s="134">
        <v>148461.94</v>
      </c>
      <c r="I339" s="157">
        <v>148461.94</v>
      </c>
      <c r="M339" s="258"/>
      <c r="N339" s="258"/>
      <c r="O339" s="162"/>
      <c r="AE339" s="54"/>
      <c r="AF339" s="54"/>
    </row>
    <row r="340" spans="1:32" ht="84" customHeight="1">
      <c r="A340" s="144">
        <v>324</v>
      </c>
      <c r="B340" s="143" t="s">
        <v>455</v>
      </c>
      <c r="C340" s="34" t="s">
        <v>153</v>
      </c>
      <c r="D340" s="34" t="s">
        <v>128</v>
      </c>
      <c r="E340" s="34">
        <v>8510078460</v>
      </c>
      <c r="F340" s="144"/>
      <c r="G340" s="134">
        <f>G341+G343</f>
        <v>57800</v>
      </c>
      <c r="H340" s="134">
        <f t="shared" ref="H340:I340" si="174">H341+H343</f>
        <v>53200</v>
      </c>
      <c r="I340" s="29">
        <f t="shared" si="174"/>
        <v>53200</v>
      </c>
      <c r="M340" s="258"/>
      <c r="N340" s="258"/>
      <c r="O340" s="247"/>
      <c r="AE340" s="54"/>
      <c r="AF340" s="54"/>
    </row>
    <row r="341" spans="1:32" ht="45">
      <c r="A341" s="144">
        <v>325</v>
      </c>
      <c r="B341" s="143" t="s">
        <v>15</v>
      </c>
      <c r="C341" s="34" t="s">
        <v>153</v>
      </c>
      <c r="D341" s="34" t="s">
        <v>128</v>
      </c>
      <c r="E341" s="34">
        <v>8510078460</v>
      </c>
      <c r="F341" s="144">
        <v>100</v>
      </c>
      <c r="G341" s="134">
        <f>G342</f>
        <v>56351</v>
      </c>
      <c r="H341" s="134">
        <f t="shared" ref="H341:I341" si="175">H342</f>
        <v>51751</v>
      </c>
      <c r="I341" s="29">
        <f t="shared" si="175"/>
        <v>51751</v>
      </c>
      <c r="M341" s="258"/>
      <c r="N341" s="258"/>
      <c r="O341" s="162"/>
      <c r="AE341" s="54"/>
      <c r="AF341" s="54"/>
    </row>
    <row r="342" spans="1:32">
      <c r="A342" s="144">
        <v>326</v>
      </c>
      <c r="B342" s="143" t="s">
        <v>16</v>
      </c>
      <c r="C342" s="34" t="s">
        <v>153</v>
      </c>
      <c r="D342" s="34" t="s">
        <v>128</v>
      </c>
      <c r="E342" s="34">
        <v>8510078460</v>
      </c>
      <c r="F342" s="144">
        <v>120</v>
      </c>
      <c r="G342" s="134">
        <f>51751+4600</f>
        <v>56351</v>
      </c>
      <c r="H342" s="134">
        <v>51751</v>
      </c>
      <c r="I342" s="157">
        <v>51751</v>
      </c>
      <c r="M342" s="258"/>
      <c r="N342" s="258"/>
      <c r="O342" s="162"/>
      <c r="AE342" s="54"/>
      <c r="AF342" s="54"/>
    </row>
    <row r="343" spans="1:32">
      <c r="A343" s="144">
        <v>327</v>
      </c>
      <c r="B343" s="143" t="s">
        <v>20</v>
      </c>
      <c r="C343" s="34" t="s">
        <v>153</v>
      </c>
      <c r="D343" s="34" t="s">
        <v>128</v>
      </c>
      <c r="E343" s="34">
        <v>8510078460</v>
      </c>
      <c r="F343" s="144">
        <v>200</v>
      </c>
      <c r="G343" s="134">
        <f>G344</f>
        <v>1449</v>
      </c>
      <c r="H343" s="134">
        <f t="shared" ref="H343:I343" si="176">H344</f>
        <v>1449</v>
      </c>
      <c r="I343" s="29">
        <f t="shared" si="176"/>
        <v>1449</v>
      </c>
      <c r="M343" s="258"/>
      <c r="N343" s="258"/>
      <c r="O343" s="162"/>
      <c r="AE343" s="54"/>
      <c r="AF343" s="54"/>
    </row>
    <row r="344" spans="1:32">
      <c r="A344" s="144">
        <v>328</v>
      </c>
      <c r="B344" s="143" t="s">
        <v>21</v>
      </c>
      <c r="C344" s="34" t="s">
        <v>153</v>
      </c>
      <c r="D344" s="34" t="s">
        <v>128</v>
      </c>
      <c r="E344" s="34">
        <v>8510078460</v>
      </c>
      <c r="F344" s="144">
        <v>240</v>
      </c>
      <c r="G344" s="134">
        <v>1449</v>
      </c>
      <c r="H344" s="134">
        <v>1449</v>
      </c>
      <c r="I344" s="157">
        <v>1449</v>
      </c>
      <c r="M344" s="258"/>
      <c r="N344" s="258"/>
      <c r="O344" s="162"/>
      <c r="AE344" s="54"/>
      <c r="AF344" s="54"/>
    </row>
    <row r="345" spans="1:32">
      <c r="A345" s="144">
        <v>329</v>
      </c>
      <c r="B345" s="305" t="s">
        <v>308</v>
      </c>
      <c r="C345" s="34" t="s">
        <v>153</v>
      </c>
      <c r="D345" s="34" t="s">
        <v>128</v>
      </c>
      <c r="E345" s="34" t="s">
        <v>178</v>
      </c>
      <c r="F345" s="144"/>
      <c r="G345" s="134">
        <f t="shared" ref="G345:I345" si="177">G346</f>
        <v>607000</v>
      </c>
      <c r="H345" s="134">
        <f t="shared" si="177"/>
        <v>607000</v>
      </c>
      <c r="I345" s="29">
        <f t="shared" si="177"/>
        <v>607000</v>
      </c>
      <c r="M345" s="258"/>
      <c r="N345" s="258"/>
      <c r="O345" s="162"/>
      <c r="AE345" s="54"/>
      <c r="AF345" s="54"/>
    </row>
    <row r="346" spans="1:32">
      <c r="A346" s="144">
        <v>330</v>
      </c>
      <c r="B346" s="305" t="s">
        <v>387</v>
      </c>
      <c r="C346" s="34" t="s">
        <v>153</v>
      </c>
      <c r="D346" s="34" t="s">
        <v>128</v>
      </c>
      <c r="E346" s="34" t="s">
        <v>383</v>
      </c>
      <c r="F346" s="144"/>
      <c r="G346" s="134">
        <f t="shared" ref="G346:H346" si="178">G347+G350</f>
        <v>607000</v>
      </c>
      <c r="H346" s="134">
        <f t="shared" si="178"/>
        <v>607000</v>
      </c>
      <c r="I346" s="29">
        <f t="shared" ref="I346" si="179">I347+I350</f>
        <v>607000</v>
      </c>
      <c r="M346" s="258"/>
      <c r="N346" s="258"/>
      <c r="O346" s="162"/>
      <c r="AE346" s="54"/>
      <c r="AF346" s="54"/>
    </row>
    <row r="347" spans="1:32" ht="45">
      <c r="A347" s="144">
        <v>331</v>
      </c>
      <c r="B347" s="307" t="s">
        <v>395</v>
      </c>
      <c r="C347" s="34" t="s">
        <v>153</v>
      </c>
      <c r="D347" s="34" t="s">
        <v>128</v>
      </c>
      <c r="E347" s="34" t="s">
        <v>391</v>
      </c>
      <c r="F347" s="144"/>
      <c r="G347" s="134">
        <f t="shared" ref="G347:I347" si="180">G348</f>
        <v>500000</v>
      </c>
      <c r="H347" s="134">
        <f t="shared" si="180"/>
        <v>500000</v>
      </c>
      <c r="I347" s="29">
        <f t="shared" si="180"/>
        <v>500000</v>
      </c>
      <c r="M347" s="258"/>
      <c r="N347" s="258"/>
      <c r="O347" s="162"/>
      <c r="AE347" s="54"/>
      <c r="AF347" s="54"/>
    </row>
    <row r="348" spans="1:32">
      <c r="A348" s="144">
        <v>332</v>
      </c>
      <c r="B348" s="306" t="s">
        <v>147</v>
      </c>
      <c r="C348" s="34" t="s">
        <v>153</v>
      </c>
      <c r="D348" s="34" t="s">
        <v>128</v>
      </c>
      <c r="E348" s="34" t="s">
        <v>391</v>
      </c>
      <c r="F348" s="144">
        <v>300</v>
      </c>
      <c r="G348" s="134">
        <f t="shared" ref="G348:I348" si="181">G349</f>
        <v>500000</v>
      </c>
      <c r="H348" s="134">
        <f t="shared" si="181"/>
        <v>500000</v>
      </c>
      <c r="I348" s="29">
        <f t="shared" si="181"/>
        <v>500000</v>
      </c>
      <c r="M348" s="258"/>
      <c r="N348" s="258"/>
      <c r="O348" s="162"/>
      <c r="AE348" s="54"/>
      <c r="AF348" s="54"/>
    </row>
    <row r="349" spans="1:32">
      <c r="A349" s="144">
        <v>333</v>
      </c>
      <c r="B349" s="305" t="s">
        <v>390</v>
      </c>
      <c r="C349" s="34" t="s">
        <v>153</v>
      </c>
      <c r="D349" s="34" t="s">
        <v>128</v>
      </c>
      <c r="E349" s="34" t="s">
        <v>391</v>
      </c>
      <c r="F349" s="144">
        <v>310</v>
      </c>
      <c r="G349" s="134">
        <v>500000</v>
      </c>
      <c r="H349" s="134">
        <v>500000</v>
      </c>
      <c r="I349" s="157">
        <v>500000</v>
      </c>
      <c r="M349" s="258"/>
      <c r="N349" s="258"/>
      <c r="O349" s="162"/>
      <c r="AE349" s="54"/>
      <c r="AF349" s="54"/>
    </row>
    <row r="350" spans="1:32" ht="45.75" customHeight="1">
      <c r="A350" s="144">
        <v>334</v>
      </c>
      <c r="B350" s="307" t="s">
        <v>392</v>
      </c>
      <c r="C350" s="34" t="s">
        <v>153</v>
      </c>
      <c r="D350" s="34" t="s">
        <v>128</v>
      </c>
      <c r="E350" s="34" t="s">
        <v>393</v>
      </c>
      <c r="F350" s="144"/>
      <c r="G350" s="134">
        <f t="shared" ref="G350:H350" si="182">G351+G353</f>
        <v>107000</v>
      </c>
      <c r="H350" s="134">
        <f t="shared" si="182"/>
        <v>107000</v>
      </c>
      <c r="I350" s="29">
        <f t="shared" ref="I350" si="183">I351+I353</f>
        <v>107000</v>
      </c>
      <c r="M350" s="258"/>
      <c r="N350" s="258"/>
      <c r="O350" s="162"/>
      <c r="AE350" s="54"/>
      <c r="AF350" s="54"/>
    </row>
    <row r="351" spans="1:32" ht="21" customHeight="1">
      <c r="A351" s="144">
        <v>335</v>
      </c>
      <c r="B351" s="306" t="s">
        <v>147</v>
      </c>
      <c r="C351" s="34" t="s">
        <v>153</v>
      </c>
      <c r="D351" s="34" t="s">
        <v>128</v>
      </c>
      <c r="E351" s="34" t="s">
        <v>393</v>
      </c>
      <c r="F351" s="144">
        <v>300</v>
      </c>
      <c r="G351" s="134">
        <f t="shared" ref="G351:I351" si="184">G352</f>
        <v>92000</v>
      </c>
      <c r="H351" s="134">
        <f t="shared" si="184"/>
        <v>92000</v>
      </c>
      <c r="I351" s="29">
        <f t="shared" si="184"/>
        <v>92000</v>
      </c>
      <c r="M351" s="258"/>
      <c r="N351" s="258"/>
      <c r="O351" s="162"/>
      <c r="AE351" s="54"/>
      <c r="AF351" s="54"/>
    </row>
    <row r="352" spans="1:32">
      <c r="A352" s="144">
        <v>336</v>
      </c>
      <c r="B352" s="305" t="s">
        <v>81</v>
      </c>
      <c r="C352" s="34" t="s">
        <v>153</v>
      </c>
      <c r="D352" s="34" t="s">
        <v>128</v>
      </c>
      <c r="E352" s="34" t="s">
        <v>393</v>
      </c>
      <c r="F352" s="144">
        <v>320</v>
      </c>
      <c r="G352" s="134">
        <v>92000</v>
      </c>
      <c r="H352" s="134">
        <v>92000</v>
      </c>
      <c r="I352" s="29">
        <v>92000</v>
      </c>
      <c r="M352" s="258"/>
      <c r="N352" s="258"/>
      <c r="O352" s="162"/>
      <c r="AE352" s="54"/>
      <c r="AF352" s="54"/>
    </row>
    <row r="353" spans="1:32">
      <c r="A353" s="144">
        <v>337</v>
      </c>
      <c r="B353" s="143" t="s">
        <v>20</v>
      </c>
      <c r="C353" s="34" t="s">
        <v>153</v>
      </c>
      <c r="D353" s="34" t="s">
        <v>128</v>
      </c>
      <c r="E353" s="34" t="s">
        <v>393</v>
      </c>
      <c r="F353" s="144">
        <v>200</v>
      </c>
      <c r="G353" s="134">
        <f t="shared" ref="G353:I353" si="185">G354</f>
        <v>15000</v>
      </c>
      <c r="H353" s="134">
        <f t="shared" si="185"/>
        <v>15000</v>
      </c>
      <c r="I353" s="29">
        <f t="shared" si="185"/>
        <v>15000</v>
      </c>
      <c r="M353" s="258"/>
      <c r="N353" s="258"/>
      <c r="O353" s="162"/>
      <c r="AE353" s="54"/>
      <c r="AF353" s="54"/>
    </row>
    <row r="354" spans="1:32">
      <c r="A354" s="144">
        <v>338</v>
      </c>
      <c r="B354" s="143" t="s">
        <v>21</v>
      </c>
      <c r="C354" s="34" t="s">
        <v>153</v>
      </c>
      <c r="D354" s="34" t="s">
        <v>128</v>
      </c>
      <c r="E354" s="34" t="s">
        <v>393</v>
      </c>
      <c r="F354" s="144">
        <v>240</v>
      </c>
      <c r="G354" s="134">
        <v>15000</v>
      </c>
      <c r="H354" s="134">
        <v>15000</v>
      </c>
      <c r="I354" s="157">
        <v>15000</v>
      </c>
      <c r="M354" s="258"/>
      <c r="N354" s="258"/>
      <c r="O354" s="162"/>
      <c r="AE354" s="54"/>
      <c r="AF354" s="54"/>
    </row>
    <row r="355" spans="1:32" ht="30">
      <c r="A355" s="144">
        <v>339</v>
      </c>
      <c r="B355" s="310" t="s">
        <v>57</v>
      </c>
      <c r="C355" s="34" t="s">
        <v>153</v>
      </c>
      <c r="D355" s="34" t="s">
        <v>128</v>
      </c>
      <c r="E355" s="34" t="s">
        <v>470</v>
      </c>
      <c r="F355" s="144"/>
      <c r="G355" s="134">
        <f>G356</f>
        <v>115434.55</v>
      </c>
      <c r="H355" s="134">
        <f t="shared" ref="H355:I356" si="186">H356</f>
        <v>106020.67</v>
      </c>
      <c r="I355" s="29">
        <f t="shared" si="186"/>
        <v>106000.64</v>
      </c>
      <c r="M355" s="258"/>
      <c r="N355" s="258"/>
      <c r="O355" s="247"/>
      <c r="AE355" s="54"/>
      <c r="AF355" s="54"/>
    </row>
    <row r="356" spans="1:32" ht="30">
      <c r="A356" s="144">
        <v>340</v>
      </c>
      <c r="B356" s="306" t="s">
        <v>154</v>
      </c>
      <c r="C356" s="34" t="s">
        <v>153</v>
      </c>
      <c r="D356" s="34" t="s">
        <v>128</v>
      </c>
      <c r="E356" s="34" t="s">
        <v>471</v>
      </c>
      <c r="F356" s="144"/>
      <c r="G356" s="134">
        <f>G357</f>
        <v>115434.55</v>
      </c>
      <c r="H356" s="134">
        <f t="shared" si="186"/>
        <v>106020.67</v>
      </c>
      <c r="I356" s="29">
        <f t="shared" si="186"/>
        <v>106000.64</v>
      </c>
      <c r="M356" s="258"/>
      <c r="N356" s="258"/>
      <c r="O356" s="162"/>
      <c r="AE356" s="54"/>
      <c r="AF356" s="54"/>
    </row>
    <row r="357" spans="1:32" ht="45">
      <c r="A357" s="144">
        <v>341</v>
      </c>
      <c r="B357" s="306" t="s">
        <v>378</v>
      </c>
      <c r="C357" s="34" t="s">
        <v>153</v>
      </c>
      <c r="D357" s="34" t="s">
        <v>128</v>
      </c>
      <c r="E357" s="34" t="s">
        <v>472</v>
      </c>
      <c r="F357" s="144"/>
      <c r="G357" s="134">
        <f>G358+G360</f>
        <v>115434.55</v>
      </c>
      <c r="H357" s="134">
        <f t="shared" ref="H357:I357" si="187">H358+H360</f>
        <v>106020.67</v>
      </c>
      <c r="I357" s="29">
        <f t="shared" si="187"/>
        <v>106000.64</v>
      </c>
      <c r="M357" s="258"/>
      <c r="N357" s="258"/>
      <c r="O357" s="162"/>
      <c r="AE357" s="54"/>
      <c r="AF357" s="54"/>
    </row>
    <row r="358" spans="1:32" ht="45">
      <c r="A358" s="144">
        <v>342</v>
      </c>
      <c r="B358" s="143" t="s">
        <v>15</v>
      </c>
      <c r="C358" s="34" t="s">
        <v>153</v>
      </c>
      <c r="D358" s="34" t="s">
        <v>128</v>
      </c>
      <c r="E358" s="34" t="s">
        <v>472</v>
      </c>
      <c r="F358" s="144">
        <v>100</v>
      </c>
      <c r="G358" s="134">
        <f>G359</f>
        <v>111742.17</v>
      </c>
      <c r="H358" s="134">
        <f t="shared" ref="H358:I358" si="188">H359</f>
        <v>102542.17</v>
      </c>
      <c r="I358" s="29">
        <f t="shared" si="188"/>
        <v>102542.17</v>
      </c>
      <c r="M358" s="258"/>
      <c r="N358" s="258"/>
      <c r="O358" s="162"/>
      <c r="AE358" s="54"/>
      <c r="AF358" s="54"/>
    </row>
    <row r="359" spans="1:32">
      <c r="A359" s="144">
        <v>343</v>
      </c>
      <c r="B359" s="143" t="s">
        <v>16</v>
      </c>
      <c r="C359" s="34" t="s">
        <v>153</v>
      </c>
      <c r="D359" s="34" t="s">
        <v>128</v>
      </c>
      <c r="E359" s="34" t="s">
        <v>472</v>
      </c>
      <c r="F359" s="144">
        <v>120</v>
      </c>
      <c r="G359" s="134">
        <f>102542.17+9200</f>
        <v>111742.17</v>
      </c>
      <c r="H359" s="134">
        <v>102542.17</v>
      </c>
      <c r="I359" s="157">
        <v>102542.17</v>
      </c>
      <c r="M359" s="258"/>
      <c r="N359" s="258"/>
      <c r="O359" s="162"/>
      <c r="AE359" s="54"/>
      <c r="AF359" s="54"/>
    </row>
    <row r="360" spans="1:32">
      <c r="A360" s="144">
        <v>344</v>
      </c>
      <c r="B360" s="143" t="s">
        <v>20</v>
      </c>
      <c r="C360" s="34" t="s">
        <v>153</v>
      </c>
      <c r="D360" s="34" t="s">
        <v>128</v>
      </c>
      <c r="E360" s="34" t="s">
        <v>472</v>
      </c>
      <c r="F360" s="144">
        <v>200</v>
      </c>
      <c r="G360" s="134">
        <f>G361</f>
        <v>3692.38</v>
      </c>
      <c r="H360" s="134">
        <f t="shared" ref="H360:I360" si="189">H361</f>
        <v>3478.5</v>
      </c>
      <c r="I360" s="29">
        <f t="shared" si="189"/>
        <v>3458.47</v>
      </c>
      <c r="M360" s="258"/>
      <c r="N360" s="258"/>
      <c r="O360" s="162"/>
      <c r="AE360" s="54"/>
      <c r="AF360" s="54"/>
    </row>
    <row r="361" spans="1:32">
      <c r="A361" s="144">
        <v>345</v>
      </c>
      <c r="B361" s="143" t="s">
        <v>21</v>
      </c>
      <c r="C361" s="34" t="s">
        <v>153</v>
      </c>
      <c r="D361" s="34" t="s">
        <v>128</v>
      </c>
      <c r="E361" s="34" t="s">
        <v>472</v>
      </c>
      <c r="F361" s="144">
        <v>240</v>
      </c>
      <c r="G361" s="134">
        <f>3657.83+34.55</f>
        <v>3692.38</v>
      </c>
      <c r="H361" s="134">
        <f>3657.83-200+20.67</f>
        <v>3478.5</v>
      </c>
      <c r="I361" s="157">
        <f>3657.83-200+0.64</f>
        <v>3458.47</v>
      </c>
      <c r="J361" s="246"/>
      <c r="K361" s="246"/>
      <c r="L361" s="246"/>
      <c r="M361" s="258"/>
      <c r="N361" s="258"/>
      <c r="O361" s="162"/>
      <c r="AE361" s="54"/>
      <c r="AF361" s="54"/>
    </row>
    <row r="362" spans="1:32" ht="36" customHeight="1">
      <c r="A362" s="144">
        <v>346</v>
      </c>
      <c r="B362" s="320" t="s">
        <v>232</v>
      </c>
      <c r="C362" s="34" t="s">
        <v>153</v>
      </c>
      <c r="D362" s="303"/>
      <c r="E362" s="302"/>
      <c r="F362" s="303"/>
      <c r="G362" s="304">
        <f t="shared" ref="G362:I365" si="190">G363</f>
        <v>7562730.1600000001</v>
      </c>
      <c r="H362" s="304">
        <f t="shared" si="190"/>
        <v>6865681.1600000001</v>
      </c>
      <c r="I362" s="46">
        <f t="shared" si="190"/>
        <v>6865681.1600000001</v>
      </c>
      <c r="M362" s="258"/>
      <c r="N362" s="258"/>
      <c r="O362" s="162"/>
      <c r="AE362" s="54"/>
      <c r="AF362" s="54"/>
    </row>
    <row r="363" spans="1:32">
      <c r="A363" s="144">
        <v>347</v>
      </c>
      <c r="B363" s="316" t="s">
        <v>98</v>
      </c>
      <c r="C363" s="34" t="s">
        <v>153</v>
      </c>
      <c r="D363" s="34" t="s">
        <v>99</v>
      </c>
      <c r="E363" s="34"/>
      <c r="F363" s="144"/>
      <c r="G363" s="134">
        <f t="shared" si="190"/>
        <v>7562730.1600000001</v>
      </c>
      <c r="H363" s="134">
        <f t="shared" si="190"/>
        <v>6865681.1600000001</v>
      </c>
      <c r="I363" s="29">
        <f t="shared" si="190"/>
        <v>6865681.1600000001</v>
      </c>
      <c r="M363" s="258"/>
      <c r="N363" s="258"/>
      <c r="O363" s="162"/>
      <c r="AE363" s="54"/>
      <c r="AF363" s="54"/>
    </row>
    <row r="364" spans="1:32" ht="30">
      <c r="A364" s="144">
        <v>348</v>
      </c>
      <c r="B364" s="143" t="s">
        <v>74</v>
      </c>
      <c r="C364" s="34" t="s">
        <v>153</v>
      </c>
      <c r="D364" s="34" t="s">
        <v>379</v>
      </c>
      <c r="E364" s="34"/>
      <c r="F364" s="144"/>
      <c r="G364" s="134">
        <f t="shared" si="190"/>
        <v>7562730.1600000001</v>
      </c>
      <c r="H364" s="134">
        <f t="shared" si="190"/>
        <v>6865681.1600000001</v>
      </c>
      <c r="I364" s="29">
        <f t="shared" si="190"/>
        <v>6865681.1600000001</v>
      </c>
      <c r="M364" s="258"/>
      <c r="N364" s="258"/>
      <c r="O364" s="162"/>
      <c r="AE364" s="54"/>
      <c r="AF364" s="54"/>
    </row>
    <row r="365" spans="1:32" ht="30">
      <c r="A365" s="144">
        <v>349</v>
      </c>
      <c r="B365" s="306" t="s">
        <v>148</v>
      </c>
      <c r="C365" s="34" t="s">
        <v>153</v>
      </c>
      <c r="D365" s="34" t="s">
        <v>379</v>
      </c>
      <c r="E365" s="34" t="s">
        <v>187</v>
      </c>
      <c r="F365" s="144"/>
      <c r="G365" s="134">
        <f t="shared" si="190"/>
        <v>7562730.1600000001</v>
      </c>
      <c r="H365" s="134">
        <f t="shared" si="190"/>
        <v>6865681.1600000001</v>
      </c>
      <c r="I365" s="29">
        <f t="shared" si="190"/>
        <v>6865681.1600000001</v>
      </c>
      <c r="M365" s="258"/>
      <c r="N365" s="258"/>
      <c r="O365" s="162"/>
      <c r="AE365" s="54"/>
      <c r="AF365" s="54"/>
    </row>
    <row r="366" spans="1:32" ht="30">
      <c r="A366" s="144">
        <v>350</v>
      </c>
      <c r="B366" s="321" t="s">
        <v>294</v>
      </c>
      <c r="C366" s="34" t="s">
        <v>153</v>
      </c>
      <c r="D366" s="34" t="s">
        <v>379</v>
      </c>
      <c r="E366" s="34" t="s">
        <v>188</v>
      </c>
      <c r="F366" s="144"/>
      <c r="G366" s="134">
        <f>G367+G374</f>
        <v>7562730.1600000001</v>
      </c>
      <c r="H366" s="134">
        <f t="shared" ref="H366:I366" si="191">H367+H374</f>
        <v>6865681.1600000001</v>
      </c>
      <c r="I366" s="29">
        <f t="shared" si="191"/>
        <v>6865681.1600000001</v>
      </c>
      <c r="M366" s="258"/>
      <c r="N366" s="258"/>
      <c r="O366" s="162"/>
      <c r="AE366" s="54"/>
      <c r="AF366" s="54"/>
    </row>
    <row r="367" spans="1:32" ht="60">
      <c r="A367" s="144">
        <v>351</v>
      </c>
      <c r="B367" s="306" t="s">
        <v>330</v>
      </c>
      <c r="C367" s="34" t="s">
        <v>153</v>
      </c>
      <c r="D367" s="34" t="s">
        <v>379</v>
      </c>
      <c r="E367" s="34" t="s">
        <v>288</v>
      </c>
      <c r="F367" s="144"/>
      <c r="G367" s="134">
        <f t="shared" ref="G367:I367" si="192">G368+G370+G372</f>
        <v>7559730.1600000001</v>
      </c>
      <c r="H367" s="134">
        <f t="shared" si="192"/>
        <v>6865681.1600000001</v>
      </c>
      <c r="I367" s="29">
        <f t="shared" si="192"/>
        <v>6865681.1600000001</v>
      </c>
      <c r="M367" s="258"/>
      <c r="N367" s="258"/>
      <c r="O367" s="162"/>
      <c r="AE367" s="54"/>
      <c r="AF367" s="54"/>
    </row>
    <row r="368" spans="1:32" ht="45">
      <c r="A368" s="144">
        <v>352</v>
      </c>
      <c r="B368" s="143" t="s">
        <v>15</v>
      </c>
      <c r="C368" s="34" t="s">
        <v>153</v>
      </c>
      <c r="D368" s="34" t="s">
        <v>379</v>
      </c>
      <c r="E368" s="34" t="s">
        <v>288</v>
      </c>
      <c r="F368" s="144">
        <v>100</v>
      </c>
      <c r="G368" s="134">
        <f t="shared" ref="G368:I368" si="193">G369</f>
        <v>6698990.1600000001</v>
      </c>
      <c r="H368" s="134">
        <f t="shared" si="193"/>
        <v>6002941.1600000001</v>
      </c>
      <c r="I368" s="29">
        <f t="shared" si="193"/>
        <v>6002941.1600000001</v>
      </c>
      <c r="M368" s="258"/>
      <c r="N368" s="258"/>
      <c r="O368" s="162"/>
      <c r="AE368" s="54"/>
      <c r="AF368" s="54"/>
    </row>
    <row r="369" spans="1:32">
      <c r="A369" s="144">
        <v>353</v>
      </c>
      <c r="B369" s="143" t="s">
        <v>63</v>
      </c>
      <c r="C369" s="34" t="s">
        <v>153</v>
      </c>
      <c r="D369" s="34" t="s">
        <v>379</v>
      </c>
      <c r="E369" s="34" t="s">
        <v>288</v>
      </c>
      <c r="F369" s="144">
        <v>110</v>
      </c>
      <c r="G369" s="134">
        <f>6002941.16+696049</f>
        <v>6698990.1600000001</v>
      </c>
      <c r="H369" s="134">
        <v>6002941.1600000001</v>
      </c>
      <c r="I369" s="157">
        <v>6002941.1600000001</v>
      </c>
      <c r="M369" s="258"/>
      <c r="N369" s="258"/>
      <c r="O369" s="162"/>
      <c r="AE369" s="54"/>
      <c r="AF369" s="54"/>
    </row>
    <row r="370" spans="1:32">
      <c r="A370" s="144">
        <v>354</v>
      </c>
      <c r="B370" s="143" t="s">
        <v>20</v>
      </c>
      <c r="C370" s="34" t="s">
        <v>153</v>
      </c>
      <c r="D370" s="34" t="s">
        <v>379</v>
      </c>
      <c r="E370" s="34" t="s">
        <v>288</v>
      </c>
      <c r="F370" s="144">
        <v>200</v>
      </c>
      <c r="G370" s="134">
        <f t="shared" ref="G370:I370" si="194">G371</f>
        <v>860240</v>
      </c>
      <c r="H370" s="134">
        <f t="shared" si="194"/>
        <v>862240</v>
      </c>
      <c r="I370" s="29">
        <f t="shared" si="194"/>
        <v>862240</v>
      </c>
      <c r="M370" s="258"/>
      <c r="N370" s="258"/>
      <c r="O370" s="162"/>
      <c r="AE370" s="54"/>
      <c r="AF370" s="54"/>
    </row>
    <row r="371" spans="1:32">
      <c r="A371" s="144">
        <v>355</v>
      </c>
      <c r="B371" s="143" t="s">
        <v>21</v>
      </c>
      <c r="C371" s="34" t="s">
        <v>153</v>
      </c>
      <c r="D371" s="34" t="s">
        <v>379</v>
      </c>
      <c r="E371" s="34" t="s">
        <v>288</v>
      </c>
      <c r="F371" s="144">
        <v>240</v>
      </c>
      <c r="G371" s="134">
        <f>862240-410-1590</f>
        <v>860240</v>
      </c>
      <c r="H371" s="134">
        <v>862240</v>
      </c>
      <c r="I371" s="157">
        <v>862240</v>
      </c>
      <c r="J371" s="263"/>
      <c r="M371" s="258"/>
      <c r="N371" s="258"/>
      <c r="O371" s="162"/>
      <c r="AE371" s="54"/>
      <c r="AF371" s="54"/>
    </row>
    <row r="372" spans="1:32">
      <c r="A372" s="144">
        <v>356</v>
      </c>
      <c r="B372" s="143" t="s">
        <v>32</v>
      </c>
      <c r="C372" s="34" t="s">
        <v>153</v>
      </c>
      <c r="D372" s="34" t="s">
        <v>379</v>
      </c>
      <c r="E372" s="34" t="s">
        <v>288</v>
      </c>
      <c r="F372" s="144">
        <v>800</v>
      </c>
      <c r="G372" s="134">
        <f t="shared" ref="G372" si="195">G373</f>
        <v>500</v>
      </c>
      <c r="H372" s="134">
        <f t="shared" ref="H372:I372" si="196">H373</f>
        <v>500</v>
      </c>
      <c r="I372" s="29">
        <f t="shared" si="196"/>
        <v>500</v>
      </c>
      <c r="M372" s="258"/>
      <c r="N372" s="258"/>
      <c r="O372" s="162"/>
      <c r="AE372" s="54"/>
      <c r="AF372" s="54"/>
    </row>
    <row r="373" spans="1:32">
      <c r="A373" s="144">
        <v>357</v>
      </c>
      <c r="B373" s="143" t="s">
        <v>80</v>
      </c>
      <c r="C373" s="34" t="s">
        <v>153</v>
      </c>
      <c r="D373" s="34" t="s">
        <v>379</v>
      </c>
      <c r="E373" s="34" t="s">
        <v>288</v>
      </c>
      <c r="F373" s="144">
        <v>850</v>
      </c>
      <c r="G373" s="134">
        <v>500</v>
      </c>
      <c r="H373" s="134">
        <v>500</v>
      </c>
      <c r="I373" s="157">
        <v>500</v>
      </c>
      <c r="M373" s="258"/>
      <c r="N373" s="258"/>
      <c r="O373" s="162"/>
      <c r="AE373" s="54"/>
      <c r="AF373" s="54"/>
    </row>
    <row r="374" spans="1:32" s="54" customFormat="1">
      <c r="A374" s="144">
        <v>358</v>
      </c>
      <c r="B374" s="307" t="s">
        <v>289</v>
      </c>
      <c r="C374" s="34" t="s">
        <v>153</v>
      </c>
      <c r="D374" s="34" t="s">
        <v>379</v>
      </c>
      <c r="E374" s="34" t="s">
        <v>290</v>
      </c>
      <c r="F374" s="144"/>
      <c r="G374" s="134">
        <f t="shared" ref="G374:I375" si="197">G375</f>
        <v>3000</v>
      </c>
      <c r="H374" s="134">
        <f t="shared" si="197"/>
        <v>0</v>
      </c>
      <c r="I374" s="29">
        <f t="shared" si="197"/>
        <v>0</v>
      </c>
      <c r="M374" s="258"/>
      <c r="N374" s="258"/>
      <c r="O374" s="162"/>
    </row>
    <row r="375" spans="1:32" s="54" customFormat="1">
      <c r="A375" s="144">
        <v>359</v>
      </c>
      <c r="B375" s="143" t="s">
        <v>20</v>
      </c>
      <c r="C375" s="34" t="s">
        <v>153</v>
      </c>
      <c r="D375" s="34" t="s">
        <v>379</v>
      </c>
      <c r="E375" s="34" t="s">
        <v>290</v>
      </c>
      <c r="F375" s="144">
        <v>200</v>
      </c>
      <c r="G375" s="134">
        <f t="shared" si="197"/>
        <v>3000</v>
      </c>
      <c r="H375" s="134">
        <f t="shared" si="197"/>
        <v>0</v>
      </c>
      <c r="I375" s="29">
        <f t="shared" si="197"/>
        <v>0</v>
      </c>
      <c r="M375" s="258"/>
      <c r="N375" s="258"/>
      <c r="O375" s="162"/>
    </row>
    <row r="376" spans="1:32" s="54" customFormat="1">
      <c r="A376" s="144">
        <v>360</v>
      </c>
      <c r="B376" s="143" t="s">
        <v>21</v>
      </c>
      <c r="C376" s="34" t="s">
        <v>153</v>
      </c>
      <c r="D376" s="34" t="s">
        <v>379</v>
      </c>
      <c r="E376" s="34" t="s">
        <v>290</v>
      </c>
      <c r="F376" s="144">
        <v>240</v>
      </c>
      <c r="G376" s="134">
        <f>1000+2000</f>
        <v>3000</v>
      </c>
      <c r="H376" s="134">
        <v>0</v>
      </c>
      <c r="I376" s="29">
        <v>0</v>
      </c>
      <c r="J376" s="277"/>
      <c r="M376" s="258"/>
      <c r="N376" s="258"/>
      <c r="O376" s="162"/>
    </row>
    <row r="377" spans="1:32" ht="28.5">
      <c r="A377" s="144">
        <v>361</v>
      </c>
      <c r="B377" s="320" t="s">
        <v>233</v>
      </c>
      <c r="C377" s="34" t="s">
        <v>153</v>
      </c>
      <c r="D377" s="144"/>
      <c r="E377" s="34"/>
      <c r="F377" s="144"/>
      <c r="G377" s="304">
        <f t="shared" ref="G377:I377" si="198">G378</f>
        <v>3286229.2199999997</v>
      </c>
      <c r="H377" s="304">
        <f t="shared" si="198"/>
        <v>3036332.7199999997</v>
      </c>
      <c r="I377" s="46">
        <f t="shared" si="198"/>
        <v>3036332.7199999997</v>
      </c>
      <c r="M377" s="258"/>
      <c r="N377" s="258"/>
      <c r="O377" s="162"/>
      <c r="AE377" s="54"/>
      <c r="AF377" s="54"/>
    </row>
    <row r="378" spans="1:32">
      <c r="A378" s="144">
        <v>362</v>
      </c>
      <c r="B378" s="305" t="s">
        <v>85</v>
      </c>
      <c r="C378" s="34" t="s">
        <v>153</v>
      </c>
      <c r="D378" s="34" t="s">
        <v>86</v>
      </c>
      <c r="E378" s="34"/>
      <c r="F378" s="144"/>
      <c r="G378" s="134">
        <f t="shared" ref="G378:I378" si="199">G379</f>
        <v>3286229.2199999997</v>
      </c>
      <c r="H378" s="134">
        <f t="shared" si="199"/>
        <v>3036332.7199999997</v>
      </c>
      <c r="I378" s="29">
        <f t="shared" si="199"/>
        <v>3036332.7199999997</v>
      </c>
      <c r="M378" s="258"/>
      <c r="N378" s="258"/>
      <c r="O378" s="162"/>
      <c r="AE378" s="54"/>
      <c r="AF378" s="54"/>
    </row>
    <row r="379" spans="1:32">
      <c r="A379" s="144">
        <v>363</v>
      </c>
      <c r="B379" s="306" t="s">
        <v>60</v>
      </c>
      <c r="C379" s="34" t="s">
        <v>153</v>
      </c>
      <c r="D379" s="34" t="s">
        <v>94</v>
      </c>
      <c r="E379" s="34"/>
      <c r="F379" s="144"/>
      <c r="G379" s="134">
        <f t="shared" ref="G379:I379" si="200">G380</f>
        <v>3286229.2199999997</v>
      </c>
      <c r="H379" s="134">
        <f t="shared" si="200"/>
        <v>3036332.7199999997</v>
      </c>
      <c r="I379" s="29">
        <f t="shared" si="200"/>
        <v>3036332.7199999997</v>
      </c>
      <c r="M379" s="258"/>
      <c r="N379" s="258"/>
      <c r="O379" s="162"/>
      <c r="AE379" s="54"/>
      <c r="AF379" s="54"/>
    </row>
    <row r="380" spans="1:32">
      <c r="A380" s="144">
        <v>364</v>
      </c>
      <c r="B380" s="306" t="s">
        <v>328</v>
      </c>
      <c r="C380" s="34" t="s">
        <v>153</v>
      </c>
      <c r="D380" s="34" t="s">
        <v>94</v>
      </c>
      <c r="E380" s="34" t="s">
        <v>189</v>
      </c>
      <c r="F380" s="144"/>
      <c r="G380" s="134">
        <f t="shared" ref="G380:I380" si="201">G381</f>
        <v>3286229.2199999997</v>
      </c>
      <c r="H380" s="134">
        <f t="shared" si="201"/>
        <v>3036332.7199999997</v>
      </c>
      <c r="I380" s="29">
        <f t="shared" si="201"/>
        <v>3036332.7199999997</v>
      </c>
      <c r="M380" s="258"/>
      <c r="N380" s="258"/>
      <c r="O380" s="162"/>
      <c r="AE380" s="54"/>
      <c r="AF380" s="54"/>
    </row>
    <row r="381" spans="1:32">
      <c r="A381" s="144">
        <v>365</v>
      </c>
      <c r="B381" s="306" t="s">
        <v>61</v>
      </c>
      <c r="C381" s="34" t="s">
        <v>153</v>
      </c>
      <c r="D381" s="34" t="s">
        <v>94</v>
      </c>
      <c r="E381" s="34" t="s">
        <v>190</v>
      </c>
      <c r="F381" s="144"/>
      <c r="G381" s="134">
        <f>G382+G389</f>
        <v>3286229.2199999997</v>
      </c>
      <c r="H381" s="134">
        <f t="shared" ref="H381:I381" si="202">H382+H389</f>
        <v>3036332.7199999997</v>
      </c>
      <c r="I381" s="29">
        <f t="shared" si="202"/>
        <v>3036332.7199999997</v>
      </c>
      <c r="M381" s="258"/>
      <c r="N381" s="258"/>
      <c r="O381" s="162"/>
      <c r="AE381" s="54"/>
      <c r="AF381" s="54"/>
    </row>
    <row r="382" spans="1:32" ht="45">
      <c r="A382" s="144">
        <v>366</v>
      </c>
      <c r="B382" s="306" t="s">
        <v>329</v>
      </c>
      <c r="C382" s="34" t="s">
        <v>153</v>
      </c>
      <c r="D382" s="34" t="s">
        <v>94</v>
      </c>
      <c r="E382" s="34" t="s">
        <v>191</v>
      </c>
      <c r="F382" s="144"/>
      <c r="G382" s="134">
        <f t="shared" ref="G382:H382" si="203">G383+G385+G387</f>
        <v>2864829.2199999997</v>
      </c>
      <c r="H382" s="134">
        <f t="shared" si="203"/>
        <v>2673732.7199999997</v>
      </c>
      <c r="I382" s="29">
        <f t="shared" ref="I382" si="204">I383+I385+I387</f>
        <v>2673732.7199999997</v>
      </c>
      <c r="M382" s="258"/>
      <c r="N382" s="258"/>
      <c r="O382" s="162"/>
      <c r="AE382" s="54"/>
      <c r="AF382" s="54"/>
    </row>
    <row r="383" spans="1:32" ht="45">
      <c r="A383" s="144">
        <v>367</v>
      </c>
      <c r="B383" s="143" t="s">
        <v>15</v>
      </c>
      <c r="C383" s="34" t="s">
        <v>153</v>
      </c>
      <c r="D383" s="34" t="s">
        <v>94</v>
      </c>
      <c r="E383" s="34" t="s">
        <v>191</v>
      </c>
      <c r="F383" s="144">
        <v>100</v>
      </c>
      <c r="G383" s="134">
        <f t="shared" ref="G383:I383" si="205">G384</f>
        <v>2176274.2199999997</v>
      </c>
      <c r="H383" s="134">
        <f t="shared" si="205"/>
        <v>1985177.72</v>
      </c>
      <c r="I383" s="29">
        <f t="shared" si="205"/>
        <v>1985177.72</v>
      </c>
      <c r="M383" s="258"/>
      <c r="N383" s="258"/>
      <c r="O383" s="162"/>
      <c r="AE383" s="54"/>
      <c r="AF383" s="54"/>
    </row>
    <row r="384" spans="1:32">
      <c r="A384" s="144">
        <v>368</v>
      </c>
      <c r="B384" s="143" t="s">
        <v>63</v>
      </c>
      <c r="C384" s="34" t="s">
        <v>153</v>
      </c>
      <c r="D384" s="34" t="s">
        <v>94</v>
      </c>
      <c r="E384" s="34" t="s">
        <v>191</v>
      </c>
      <c r="F384" s="144">
        <v>110</v>
      </c>
      <c r="G384" s="134">
        <f>1985177.22+191097</f>
        <v>2176274.2199999997</v>
      </c>
      <c r="H384" s="134">
        <v>1985177.72</v>
      </c>
      <c r="I384" s="157">
        <v>1985177.72</v>
      </c>
      <c r="M384" s="258"/>
      <c r="N384" s="258"/>
      <c r="O384" s="162"/>
      <c r="AE384" s="54"/>
      <c r="AF384" s="54"/>
    </row>
    <row r="385" spans="1:32">
      <c r="A385" s="144">
        <v>369</v>
      </c>
      <c r="B385" s="143" t="s">
        <v>20</v>
      </c>
      <c r="C385" s="34" t="s">
        <v>153</v>
      </c>
      <c r="D385" s="34" t="s">
        <v>94</v>
      </c>
      <c r="E385" s="34" t="s">
        <v>191</v>
      </c>
      <c r="F385" s="144">
        <v>200</v>
      </c>
      <c r="G385" s="134">
        <f t="shared" ref="G385" si="206">G386</f>
        <v>688055</v>
      </c>
      <c r="H385" s="134">
        <f t="shared" ref="H385:I385" si="207">H386</f>
        <v>688055</v>
      </c>
      <c r="I385" s="29">
        <f t="shared" si="207"/>
        <v>688055</v>
      </c>
      <c r="M385" s="258"/>
      <c r="N385" s="258"/>
      <c r="O385" s="162"/>
      <c r="AE385" s="54"/>
      <c r="AF385" s="54"/>
    </row>
    <row r="386" spans="1:32">
      <c r="A386" s="144">
        <v>370</v>
      </c>
      <c r="B386" s="143" t="s">
        <v>21</v>
      </c>
      <c r="C386" s="34" t="s">
        <v>153</v>
      </c>
      <c r="D386" s="34" t="s">
        <v>94</v>
      </c>
      <c r="E386" s="34" t="s">
        <v>191</v>
      </c>
      <c r="F386" s="144">
        <v>240</v>
      </c>
      <c r="G386" s="134">
        <v>688055</v>
      </c>
      <c r="H386" s="134">
        <v>688055</v>
      </c>
      <c r="I386" s="157">
        <v>688055</v>
      </c>
      <c r="M386" s="258"/>
      <c r="N386" s="258"/>
      <c r="O386" s="162"/>
      <c r="AE386" s="54"/>
      <c r="AF386" s="54"/>
    </row>
    <row r="387" spans="1:32">
      <c r="A387" s="144">
        <v>371</v>
      </c>
      <c r="B387" s="143" t="s">
        <v>32</v>
      </c>
      <c r="C387" s="34" t="s">
        <v>153</v>
      </c>
      <c r="D387" s="34" t="s">
        <v>94</v>
      </c>
      <c r="E387" s="34" t="s">
        <v>191</v>
      </c>
      <c r="F387" s="144">
        <v>800</v>
      </c>
      <c r="G387" s="134">
        <f t="shared" ref="G387" si="208">G388</f>
        <v>500</v>
      </c>
      <c r="H387" s="134">
        <f t="shared" ref="H387:I387" si="209">H388</f>
        <v>500</v>
      </c>
      <c r="I387" s="29">
        <f t="shared" si="209"/>
        <v>500</v>
      </c>
      <c r="M387" s="258"/>
      <c r="N387" s="258"/>
      <c r="O387" s="162"/>
      <c r="AE387" s="54"/>
      <c r="AF387" s="54"/>
    </row>
    <row r="388" spans="1:32">
      <c r="A388" s="144">
        <v>372</v>
      </c>
      <c r="B388" s="143" t="s">
        <v>80</v>
      </c>
      <c r="C388" s="34" t="s">
        <v>153</v>
      </c>
      <c r="D388" s="34" t="s">
        <v>94</v>
      </c>
      <c r="E388" s="34" t="s">
        <v>191</v>
      </c>
      <c r="F388" s="144">
        <v>850</v>
      </c>
      <c r="G388" s="134">
        <v>500</v>
      </c>
      <c r="H388" s="134">
        <v>500</v>
      </c>
      <c r="I388" s="157">
        <v>500</v>
      </c>
      <c r="M388" s="258"/>
      <c r="N388" s="258"/>
      <c r="O388" s="162"/>
      <c r="AE388" s="54"/>
      <c r="AF388" s="54"/>
    </row>
    <row r="389" spans="1:32" ht="45">
      <c r="A389" s="144">
        <v>373</v>
      </c>
      <c r="B389" s="315" t="s">
        <v>327</v>
      </c>
      <c r="C389" s="34" t="s">
        <v>153</v>
      </c>
      <c r="D389" s="34" t="s">
        <v>94</v>
      </c>
      <c r="E389" s="34" t="s">
        <v>192</v>
      </c>
      <c r="F389" s="144"/>
      <c r="G389" s="134">
        <f t="shared" ref="G389:I389" si="210">G390+G392</f>
        <v>421400</v>
      </c>
      <c r="H389" s="134">
        <f t="shared" si="210"/>
        <v>362600</v>
      </c>
      <c r="I389" s="29">
        <f t="shared" si="210"/>
        <v>362600</v>
      </c>
      <c r="M389" s="258"/>
      <c r="N389" s="258"/>
      <c r="O389" s="247"/>
      <c r="AE389" s="54"/>
      <c r="AF389" s="54"/>
    </row>
    <row r="390" spans="1:32" ht="45">
      <c r="A390" s="144">
        <v>374</v>
      </c>
      <c r="B390" s="143" t="s">
        <v>15</v>
      </c>
      <c r="C390" s="34" t="s">
        <v>153</v>
      </c>
      <c r="D390" s="34" t="s">
        <v>94</v>
      </c>
      <c r="E390" s="34" t="s">
        <v>192</v>
      </c>
      <c r="F390" s="144">
        <v>100</v>
      </c>
      <c r="G390" s="134">
        <f t="shared" ref="G390:I390" si="211">G391</f>
        <v>366554.6</v>
      </c>
      <c r="H390" s="134">
        <f t="shared" si="211"/>
        <v>307754.59999999998</v>
      </c>
      <c r="I390" s="29">
        <f t="shared" si="211"/>
        <v>307754.59999999998</v>
      </c>
      <c r="M390" s="258"/>
      <c r="N390" s="258"/>
      <c r="O390" s="162"/>
      <c r="AE390" s="54"/>
      <c r="AF390" s="54"/>
    </row>
    <row r="391" spans="1:32">
      <c r="A391" s="144">
        <v>375</v>
      </c>
      <c r="B391" s="143" t="s">
        <v>63</v>
      </c>
      <c r="C391" s="34" t="s">
        <v>153</v>
      </c>
      <c r="D391" s="34" t="s">
        <v>94</v>
      </c>
      <c r="E391" s="34" t="s">
        <v>192</v>
      </c>
      <c r="F391" s="144">
        <v>110</v>
      </c>
      <c r="G391" s="134">
        <f>307754.6+58800</f>
        <v>366554.6</v>
      </c>
      <c r="H391" s="134">
        <v>307754.59999999998</v>
      </c>
      <c r="I391" s="157">
        <v>307754.59999999998</v>
      </c>
      <c r="M391" s="258"/>
      <c r="N391" s="258"/>
      <c r="O391" s="162"/>
      <c r="AE391" s="54"/>
      <c r="AF391" s="54"/>
    </row>
    <row r="392" spans="1:32">
      <c r="A392" s="144">
        <v>376</v>
      </c>
      <c r="B392" s="143" t="s">
        <v>20</v>
      </c>
      <c r="C392" s="34" t="s">
        <v>153</v>
      </c>
      <c r="D392" s="34" t="s">
        <v>94</v>
      </c>
      <c r="E392" s="34" t="s">
        <v>192</v>
      </c>
      <c r="F392" s="144">
        <v>200</v>
      </c>
      <c r="G392" s="134">
        <f t="shared" ref="G392" si="212">G393</f>
        <v>54845.4</v>
      </c>
      <c r="H392" s="134">
        <f t="shared" ref="H392:I392" si="213">H393</f>
        <v>54845.4</v>
      </c>
      <c r="I392" s="29">
        <f t="shared" si="213"/>
        <v>54845.4</v>
      </c>
      <c r="M392" s="258"/>
      <c r="N392" s="258"/>
      <c r="O392" s="162"/>
      <c r="AE392" s="54"/>
      <c r="AF392" s="54"/>
    </row>
    <row r="393" spans="1:32">
      <c r="A393" s="144">
        <v>377</v>
      </c>
      <c r="B393" s="143" t="s">
        <v>21</v>
      </c>
      <c r="C393" s="34" t="s">
        <v>153</v>
      </c>
      <c r="D393" s="34" t="s">
        <v>94</v>
      </c>
      <c r="E393" s="34" t="s">
        <v>192</v>
      </c>
      <c r="F393" s="144">
        <v>240</v>
      </c>
      <c r="G393" s="134">
        <v>54845.4</v>
      </c>
      <c r="H393" s="134">
        <v>54845.4</v>
      </c>
      <c r="I393" s="157">
        <v>54845.4</v>
      </c>
      <c r="M393" s="258"/>
      <c r="N393" s="258"/>
      <c r="O393" s="162"/>
      <c r="AE393" s="54"/>
      <c r="AF393" s="54"/>
    </row>
    <row r="394" spans="1:32" ht="36.75" customHeight="1">
      <c r="A394" s="144">
        <v>378</v>
      </c>
      <c r="B394" s="320" t="s">
        <v>234</v>
      </c>
      <c r="C394" s="34" t="s">
        <v>153</v>
      </c>
      <c r="D394" s="303"/>
      <c r="E394" s="302"/>
      <c r="F394" s="303"/>
      <c r="G394" s="304">
        <f t="shared" ref="G394:I397" si="214">G395</f>
        <v>78786419.959999993</v>
      </c>
      <c r="H394" s="304">
        <f t="shared" si="214"/>
        <v>71918191.959999993</v>
      </c>
      <c r="I394" s="46">
        <f t="shared" si="214"/>
        <v>71904475.959999993</v>
      </c>
      <c r="M394" s="258"/>
      <c r="N394" s="258"/>
      <c r="O394" s="162"/>
      <c r="AE394" s="54"/>
      <c r="AF394" s="54"/>
    </row>
    <row r="395" spans="1:32">
      <c r="A395" s="144">
        <v>379</v>
      </c>
      <c r="B395" s="305" t="s">
        <v>85</v>
      </c>
      <c r="C395" s="34" t="s">
        <v>153</v>
      </c>
      <c r="D395" s="34" t="s">
        <v>86</v>
      </c>
      <c r="E395" s="34"/>
      <c r="F395" s="144"/>
      <c r="G395" s="134">
        <f t="shared" si="214"/>
        <v>78786419.959999993</v>
      </c>
      <c r="H395" s="134">
        <f t="shared" si="214"/>
        <v>71918191.959999993</v>
      </c>
      <c r="I395" s="29">
        <f t="shared" si="214"/>
        <v>71904475.959999993</v>
      </c>
      <c r="M395" s="258"/>
      <c r="N395" s="258"/>
      <c r="O395" s="162"/>
      <c r="AE395" s="54"/>
      <c r="AF395" s="54"/>
    </row>
    <row r="396" spans="1:32">
      <c r="A396" s="144">
        <v>380</v>
      </c>
      <c r="B396" s="306" t="s">
        <v>35</v>
      </c>
      <c r="C396" s="34" t="s">
        <v>153</v>
      </c>
      <c r="D396" s="34" t="s">
        <v>94</v>
      </c>
      <c r="E396" s="34"/>
      <c r="F396" s="144"/>
      <c r="G396" s="134">
        <f t="shared" si="214"/>
        <v>78786419.959999993</v>
      </c>
      <c r="H396" s="134">
        <f t="shared" si="214"/>
        <v>71918191.959999993</v>
      </c>
      <c r="I396" s="29">
        <f t="shared" si="214"/>
        <v>71904475.959999993</v>
      </c>
      <c r="M396" s="258"/>
      <c r="N396" s="258"/>
      <c r="O396" s="162"/>
      <c r="AE396" s="54"/>
      <c r="AF396" s="54"/>
    </row>
    <row r="397" spans="1:32">
      <c r="A397" s="144">
        <v>381</v>
      </c>
      <c r="B397" s="306" t="s">
        <v>275</v>
      </c>
      <c r="C397" s="34" t="s">
        <v>153</v>
      </c>
      <c r="D397" s="34" t="s">
        <v>94</v>
      </c>
      <c r="E397" s="34" t="s">
        <v>272</v>
      </c>
      <c r="F397" s="144"/>
      <c r="G397" s="134">
        <f t="shared" si="214"/>
        <v>78786419.959999993</v>
      </c>
      <c r="H397" s="134">
        <f t="shared" si="214"/>
        <v>71918191.959999993</v>
      </c>
      <c r="I397" s="29">
        <f t="shared" si="214"/>
        <v>71904475.959999993</v>
      </c>
      <c r="M397" s="258"/>
      <c r="N397" s="258"/>
      <c r="O397" s="162"/>
      <c r="AE397" s="54"/>
      <c r="AF397" s="54"/>
    </row>
    <row r="398" spans="1:32">
      <c r="A398" s="144">
        <v>382</v>
      </c>
      <c r="B398" s="306" t="s">
        <v>274</v>
      </c>
      <c r="C398" s="34" t="s">
        <v>153</v>
      </c>
      <c r="D398" s="34" t="s">
        <v>94</v>
      </c>
      <c r="E398" s="34" t="s">
        <v>273</v>
      </c>
      <c r="F398" s="144"/>
      <c r="G398" s="134">
        <f>G399+G406</f>
        <v>78786419.959999993</v>
      </c>
      <c r="H398" s="134">
        <f t="shared" ref="H398:I398" si="215">H399+H406</f>
        <v>71918191.959999993</v>
      </c>
      <c r="I398" s="29">
        <f t="shared" si="215"/>
        <v>71904475.959999993</v>
      </c>
      <c r="M398" s="258"/>
      <c r="N398" s="258"/>
      <c r="O398" s="162"/>
      <c r="AE398" s="54"/>
      <c r="AF398" s="54"/>
    </row>
    <row r="399" spans="1:32">
      <c r="A399" s="144">
        <v>383</v>
      </c>
      <c r="B399" s="306" t="s">
        <v>299</v>
      </c>
      <c r="C399" s="34" t="s">
        <v>153</v>
      </c>
      <c r="D399" s="34" t="s">
        <v>94</v>
      </c>
      <c r="E399" s="34" t="s">
        <v>276</v>
      </c>
      <c r="F399" s="144"/>
      <c r="G399" s="134">
        <f t="shared" ref="G399:H399" si="216">G400+G402+G404</f>
        <v>77474584.459999993</v>
      </c>
      <c r="H399" s="134">
        <f t="shared" si="216"/>
        <v>71578086.459999993</v>
      </c>
      <c r="I399" s="29">
        <f t="shared" ref="I399" si="217">I400+I402+I404</f>
        <v>71904475.959999993</v>
      </c>
      <c r="M399" s="258"/>
      <c r="N399" s="258"/>
      <c r="O399" s="162"/>
      <c r="AE399" s="54"/>
      <c r="AF399" s="54"/>
    </row>
    <row r="400" spans="1:32" ht="45">
      <c r="A400" s="144">
        <v>384</v>
      </c>
      <c r="B400" s="143" t="s">
        <v>15</v>
      </c>
      <c r="C400" s="34" t="s">
        <v>153</v>
      </c>
      <c r="D400" s="34" t="s">
        <v>94</v>
      </c>
      <c r="E400" s="34" t="s">
        <v>276</v>
      </c>
      <c r="F400" s="144">
        <v>100</v>
      </c>
      <c r="G400" s="134">
        <f t="shared" ref="G400:I400" si="218">G401</f>
        <v>74713563.459999993</v>
      </c>
      <c r="H400" s="134">
        <f t="shared" si="218"/>
        <v>68817065.459999993</v>
      </c>
      <c r="I400" s="29">
        <f t="shared" si="218"/>
        <v>69143454.959999993</v>
      </c>
      <c r="M400" s="258"/>
      <c r="N400" s="258"/>
      <c r="O400" s="162"/>
      <c r="AE400" s="54"/>
      <c r="AF400" s="54"/>
    </row>
    <row r="401" spans="1:32">
      <c r="A401" s="144">
        <v>385</v>
      </c>
      <c r="B401" s="143" t="s">
        <v>63</v>
      </c>
      <c r="C401" s="34" t="s">
        <v>153</v>
      </c>
      <c r="D401" s="34" t="s">
        <v>94</v>
      </c>
      <c r="E401" s="34" t="s">
        <v>276</v>
      </c>
      <c r="F401" s="144">
        <v>110</v>
      </c>
      <c r="G401" s="134">
        <f>68915063.33-1263829.5+228391.63+6833938</f>
        <v>74713563.459999993</v>
      </c>
      <c r="H401" s="134">
        <f>68915063.33-326389.5+228391.63</f>
        <v>68817065.459999993</v>
      </c>
      <c r="I401" s="157">
        <f>68915063.33+228391.63</f>
        <v>69143454.959999993</v>
      </c>
      <c r="M401" s="258"/>
      <c r="N401" s="258"/>
      <c r="O401" s="162"/>
      <c r="AE401" s="54"/>
      <c r="AF401" s="54"/>
    </row>
    <row r="402" spans="1:32">
      <c r="A402" s="144">
        <v>386</v>
      </c>
      <c r="B402" s="143" t="s">
        <v>20</v>
      </c>
      <c r="C402" s="34" t="s">
        <v>153</v>
      </c>
      <c r="D402" s="34" t="s">
        <v>94</v>
      </c>
      <c r="E402" s="34" t="s">
        <v>276</v>
      </c>
      <c r="F402" s="144">
        <v>200</v>
      </c>
      <c r="G402" s="134">
        <f t="shared" ref="G402:I404" si="219">G403</f>
        <v>2732418</v>
      </c>
      <c r="H402" s="134">
        <f t="shared" si="219"/>
        <v>2732418</v>
      </c>
      <c r="I402" s="29">
        <f t="shared" si="219"/>
        <v>2732418</v>
      </c>
      <c r="M402" s="258"/>
      <c r="N402" s="258"/>
      <c r="O402" s="162"/>
      <c r="AE402" s="54"/>
      <c r="AF402" s="54"/>
    </row>
    <row r="403" spans="1:32">
      <c r="A403" s="144">
        <v>387</v>
      </c>
      <c r="B403" s="143" t="s">
        <v>21</v>
      </c>
      <c r="C403" s="34" t="s">
        <v>153</v>
      </c>
      <c r="D403" s="34" t="s">
        <v>94</v>
      </c>
      <c r="E403" s="34" t="s">
        <v>276</v>
      </c>
      <c r="F403" s="144">
        <v>240</v>
      </c>
      <c r="G403" s="134">
        <v>2732418</v>
      </c>
      <c r="H403" s="134">
        <v>2732418</v>
      </c>
      <c r="I403" s="157">
        <v>2732418</v>
      </c>
      <c r="M403" s="258"/>
      <c r="N403" s="258"/>
      <c r="O403" s="162"/>
      <c r="AE403" s="54"/>
      <c r="AF403" s="54"/>
    </row>
    <row r="404" spans="1:32">
      <c r="A404" s="144">
        <v>388</v>
      </c>
      <c r="B404" s="143" t="s">
        <v>32</v>
      </c>
      <c r="C404" s="34" t="s">
        <v>153</v>
      </c>
      <c r="D404" s="34" t="s">
        <v>94</v>
      </c>
      <c r="E404" s="34" t="s">
        <v>276</v>
      </c>
      <c r="F404" s="144">
        <v>800</v>
      </c>
      <c r="G404" s="134">
        <f t="shared" ref="G404" si="220">G405</f>
        <v>28603</v>
      </c>
      <c r="H404" s="134">
        <f t="shared" si="219"/>
        <v>28603</v>
      </c>
      <c r="I404" s="29">
        <f t="shared" si="219"/>
        <v>28603</v>
      </c>
      <c r="M404" s="258"/>
      <c r="N404" s="258"/>
      <c r="O404" s="162"/>
      <c r="AE404" s="54"/>
      <c r="AF404" s="54"/>
    </row>
    <row r="405" spans="1:32">
      <c r="A405" s="144">
        <v>389</v>
      </c>
      <c r="B405" s="143" t="s">
        <v>80</v>
      </c>
      <c r="C405" s="34" t="s">
        <v>153</v>
      </c>
      <c r="D405" s="34" t="s">
        <v>94</v>
      </c>
      <c r="E405" s="34" t="s">
        <v>276</v>
      </c>
      <c r="F405" s="144">
        <v>850</v>
      </c>
      <c r="G405" s="134">
        <v>28603</v>
      </c>
      <c r="H405" s="134">
        <v>28603</v>
      </c>
      <c r="I405" s="157">
        <v>28603</v>
      </c>
      <c r="M405" s="258"/>
      <c r="N405" s="258"/>
      <c r="O405" s="162"/>
      <c r="AE405" s="54"/>
      <c r="AF405" s="54"/>
    </row>
    <row r="406" spans="1:32" ht="30">
      <c r="A406" s="144">
        <v>390</v>
      </c>
      <c r="B406" s="307" t="s">
        <v>325</v>
      </c>
      <c r="C406" s="34" t="s">
        <v>153</v>
      </c>
      <c r="D406" s="34" t="s">
        <v>94</v>
      </c>
      <c r="E406" s="34" t="s">
        <v>326</v>
      </c>
      <c r="F406" s="144"/>
      <c r="G406" s="134">
        <f t="shared" ref="G406:I406" si="221">G407+G409</f>
        <v>1311835.5</v>
      </c>
      <c r="H406" s="134">
        <f t="shared" si="221"/>
        <v>340105.5</v>
      </c>
      <c r="I406" s="29">
        <f t="shared" si="221"/>
        <v>0</v>
      </c>
      <c r="M406" s="258"/>
      <c r="N406" s="258"/>
      <c r="O406" s="162"/>
      <c r="AE406" s="54"/>
      <c r="AF406" s="54"/>
    </row>
    <row r="407" spans="1:32" ht="45">
      <c r="A407" s="144">
        <v>391</v>
      </c>
      <c r="B407" s="143" t="s">
        <v>15</v>
      </c>
      <c r="C407" s="34" t="s">
        <v>153</v>
      </c>
      <c r="D407" s="34" t="s">
        <v>94</v>
      </c>
      <c r="E407" s="34" t="s">
        <v>326</v>
      </c>
      <c r="F407" s="144">
        <v>100</v>
      </c>
      <c r="G407" s="134">
        <f t="shared" ref="G407:I407" si="222">G408</f>
        <v>1263829.5</v>
      </c>
      <c r="H407" s="134">
        <f t="shared" si="222"/>
        <v>326389.5</v>
      </c>
      <c r="I407" s="29">
        <f t="shared" si="222"/>
        <v>0</v>
      </c>
      <c r="M407" s="258"/>
      <c r="N407" s="258"/>
      <c r="O407" s="162"/>
      <c r="AE407" s="54"/>
      <c r="AF407" s="54"/>
    </row>
    <row r="408" spans="1:32">
      <c r="A408" s="144">
        <v>392</v>
      </c>
      <c r="B408" s="143" t="s">
        <v>63</v>
      </c>
      <c r="C408" s="34" t="s">
        <v>153</v>
      </c>
      <c r="D408" s="34" t="s">
        <v>94</v>
      </c>
      <c r="E408" s="34" t="s">
        <v>326</v>
      </c>
      <c r="F408" s="144">
        <v>110</v>
      </c>
      <c r="G408" s="134">
        <v>1263829.5</v>
      </c>
      <c r="H408" s="134">
        <v>326389.5</v>
      </c>
      <c r="I408" s="29">
        <v>0</v>
      </c>
      <c r="M408" s="258"/>
      <c r="N408" s="258"/>
      <c r="O408" s="162"/>
      <c r="AE408" s="54"/>
      <c r="AF408" s="54"/>
    </row>
    <row r="409" spans="1:32">
      <c r="A409" s="144">
        <v>393</v>
      </c>
      <c r="B409" s="143" t="s">
        <v>20</v>
      </c>
      <c r="C409" s="34" t="s">
        <v>153</v>
      </c>
      <c r="D409" s="34" t="s">
        <v>94</v>
      </c>
      <c r="E409" s="34" t="s">
        <v>326</v>
      </c>
      <c r="F409" s="144">
        <v>200</v>
      </c>
      <c r="G409" s="134">
        <f t="shared" ref="G409:I409" si="223">G410</f>
        <v>48006</v>
      </c>
      <c r="H409" s="134">
        <f t="shared" si="223"/>
        <v>13716</v>
      </c>
      <c r="I409" s="29">
        <f t="shared" si="223"/>
        <v>0</v>
      </c>
      <c r="M409" s="258"/>
      <c r="N409" s="258"/>
      <c r="O409" s="162"/>
      <c r="AE409" s="54"/>
      <c r="AF409" s="54"/>
    </row>
    <row r="410" spans="1:32">
      <c r="A410" s="144">
        <v>394</v>
      </c>
      <c r="B410" s="143" t="s">
        <v>21</v>
      </c>
      <c r="C410" s="34" t="s">
        <v>153</v>
      </c>
      <c r="D410" s="34" t="s">
        <v>94</v>
      </c>
      <c r="E410" s="34" t="s">
        <v>326</v>
      </c>
      <c r="F410" s="144">
        <v>240</v>
      </c>
      <c r="G410" s="134">
        <v>48006</v>
      </c>
      <c r="H410" s="134">
        <v>13716</v>
      </c>
      <c r="I410" s="29">
        <v>0</v>
      </c>
      <c r="M410" s="258"/>
      <c r="N410" s="258"/>
      <c r="O410" s="162"/>
      <c r="AE410" s="54"/>
      <c r="AF410" s="54"/>
    </row>
    <row r="411" spans="1:32" ht="39" customHeight="1">
      <c r="A411" s="144">
        <v>395</v>
      </c>
      <c r="B411" s="320" t="s">
        <v>281</v>
      </c>
      <c r="C411" s="34" t="s">
        <v>153</v>
      </c>
      <c r="D411" s="144"/>
      <c r="E411" s="34"/>
      <c r="F411" s="144"/>
      <c r="G411" s="304">
        <f t="shared" ref="G411:I411" si="224">G412</f>
        <v>11772464.73</v>
      </c>
      <c r="H411" s="304">
        <f t="shared" si="224"/>
        <v>10713138.73</v>
      </c>
      <c r="I411" s="46">
        <f t="shared" si="224"/>
        <v>10713138.73</v>
      </c>
      <c r="M411" s="258"/>
      <c r="N411" s="258"/>
      <c r="O411" s="162"/>
      <c r="AE411" s="54"/>
      <c r="AF411" s="54"/>
    </row>
    <row r="412" spans="1:32">
      <c r="A412" s="144">
        <v>396</v>
      </c>
      <c r="B412" s="305" t="s">
        <v>85</v>
      </c>
      <c r="C412" s="34" t="s">
        <v>153</v>
      </c>
      <c r="D412" s="34" t="s">
        <v>86</v>
      </c>
      <c r="E412" s="34"/>
      <c r="F412" s="144"/>
      <c r="G412" s="134">
        <f t="shared" ref="G412:I412" si="225">G413</f>
        <v>11772464.73</v>
      </c>
      <c r="H412" s="134">
        <f t="shared" si="225"/>
        <v>10713138.73</v>
      </c>
      <c r="I412" s="35">
        <f t="shared" si="225"/>
        <v>10713138.73</v>
      </c>
      <c r="M412" s="258"/>
      <c r="N412" s="258"/>
      <c r="O412" s="162"/>
      <c r="AE412" s="54"/>
      <c r="AF412" s="54"/>
    </row>
    <row r="413" spans="1:32">
      <c r="A413" s="144">
        <v>397</v>
      </c>
      <c r="B413" s="306" t="s">
        <v>35</v>
      </c>
      <c r="C413" s="34" t="s">
        <v>153</v>
      </c>
      <c r="D413" s="34" t="s">
        <v>94</v>
      </c>
      <c r="E413" s="34"/>
      <c r="F413" s="144"/>
      <c r="G413" s="134">
        <f>G414+G423</f>
        <v>11772464.73</v>
      </c>
      <c r="H413" s="134">
        <f>H414+H423</f>
        <v>10713138.73</v>
      </c>
      <c r="I413" s="35">
        <f>I414+I423</f>
        <v>10713138.73</v>
      </c>
      <c r="M413" s="258"/>
      <c r="N413" s="258"/>
      <c r="O413" s="162"/>
      <c r="AE413" s="54"/>
      <c r="AF413" s="54"/>
    </row>
    <row r="414" spans="1:32">
      <c r="A414" s="144">
        <v>398</v>
      </c>
      <c r="B414" s="306" t="s">
        <v>275</v>
      </c>
      <c r="C414" s="34" t="s">
        <v>153</v>
      </c>
      <c r="D414" s="34" t="s">
        <v>94</v>
      </c>
      <c r="E414" s="34">
        <v>9100000000</v>
      </c>
      <c r="F414" s="144"/>
      <c r="G414" s="134">
        <f t="shared" ref="G414:I414" si="226">G415</f>
        <v>10872464.73</v>
      </c>
      <c r="H414" s="134">
        <f t="shared" si="226"/>
        <v>10113138.73</v>
      </c>
      <c r="I414" s="35">
        <f t="shared" si="226"/>
        <v>10113138.73</v>
      </c>
      <c r="M414" s="258"/>
      <c r="N414" s="258"/>
      <c r="O414" s="162"/>
      <c r="AE414" s="54"/>
      <c r="AF414" s="54"/>
    </row>
    <row r="415" spans="1:32">
      <c r="A415" s="144">
        <v>399</v>
      </c>
      <c r="B415" s="306" t="s">
        <v>282</v>
      </c>
      <c r="C415" s="34" t="s">
        <v>153</v>
      </c>
      <c r="D415" s="34" t="s">
        <v>94</v>
      </c>
      <c r="E415" s="34">
        <v>9150000000</v>
      </c>
      <c r="F415" s="144"/>
      <c r="G415" s="134">
        <f t="shared" ref="G415:I415" si="227">G416</f>
        <v>10872464.73</v>
      </c>
      <c r="H415" s="134">
        <f t="shared" si="227"/>
        <v>10113138.73</v>
      </c>
      <c r="I415" s="35">
        <f t="shared" si="227"/>
        <v>10113138.73</v>
      </c>
      <c r="M415" s="258"/>
      <c r="N415" s="258"/>
      <c r="O415" s="162"/>
      <c r="AE415" s="54"/>
      <c r="AF415" s="54"/>
    </row>
    <row r="416" spans="1:32">
      <c r="A416" s="144">
        <v>400</v>
      </c>
      <c r="B416" s="306" t="s">
        <v>299</v>
      </c>
      <c r="C416" s="34" t="s">
        <v>153</v>
      </c>
      <c r="D416" s="34" t="s">
        <v>94</v>
      </c>
      <c r="E416" s="34">
        <v>9150000620</v>
      </c>
      <c r="F416" s="144"/>
      <c r="G416" s="134">
        <f t="shared" ref="G416" si="228">G417+G419+G421</f>
        <v>10872464.73</v>
      </c>
      <c r="H416" s="134">
        <f t="shared" ref="H416:I416" si="229">H417+H419+H421</f>
        <v>10113138.73</v>
      </c>
      <c r="I416" s="29">
        <f t="shared" si="229"/>
        <v>10113138.73</v>
      </c>
      <c r="M416" s="258"/>
      <c r="N416" s="258"/>
      <c r="O416" s="162"/>
      <c r="AE416" s="54"/>
      <c r="AF416" s="54"/>
    </row>
    <row r="417" spans="1:32" ht="45">
      <c r="A417" s="144">
        <v>401</v>
      </c>
      <c r="B417" s="143" t="s">
        <v>15</v>
      </c>
      <c r="C417" s="34" t="s">
        <v>153</v>
      </c>
      <c r="D417" s="34" t="s">
        <v>94</v>
      </c>
      <c r="E417" s="34">
        <v>9150000620</v>
      </c>
      <c r="F417" s="144">
        <v>100</v>
      </c>
      <c r="G417" s="134">
        <f t="shared" ref="G417:I417" si="230">G418</f>
        <v>10475864.73</v>
      </c>
      <c r="H417" s="134">
        <f t="shared" si="230"/>
        <v>9766538.7300000004</v>
      </c>
      <c r="I417" s="29">
        <f t="shared" si="230"/>
        <v>9766538.7300000004</v>
      </c>
      <c r="M417" s="258"/>
      <c r="N417" s="258"/>
      <c r="O417" s="162"/>
      <c r="AE417" s="54"/>
      <c r="AF417" s="54"/>
    </row>
    <row r="418" spans="1:32">
      <c r="A418" s="144">
        <v>402</v>
      </c>
      <c r="B418" s="143" t="s">
        <v>63</v>
      </c>
      <c r="C418" s="34" t="s">
        <v>153</v>
      </c>
      <c r="D418" s="34" t="s">
        <v>94</v>
      </c>
      <c r="E418" s="34">
        <v>9150000620</v>
      </c>
      <c r="F418" s="144">
        <v>110</v>
      </c>
      <c r="G418" s="134">
        <f>9766538.73+759326-50000</f>
        <v>10475864.73</v>
      </c>
      <c r="H418" s="134">
        <v>9766538.7300000004</v>
      </c>
      <c r="I418" s="157">
        <v>9766538.7300000004</v>
      </c>
      <c r="J418" s="263"/>
      <c r="M418" s="258"/>
      <c r="N418" s="258"/>
      <c r="O418" s="162"/>
      <c r="AE418" s="54"/>
      <c r="AF418" s="54"/>
    </row>
    <row r="419" spans="1:32">
      <c r="A419" s="144">
        <v>403</v>
      </c>
      <c r="B419" s="143" t="s">
        <v>20</v>
      </c>
      <c r="C419" s="34" t="s">
        <v>153</v>
      </c>
      <c r="D419" s="34" t="s">
        <v>94</v>
      </c>
      <c r="E419" s="34">
        <v>9150000620</v>
      </c>
      <c r="F419" s="144">
        <v>200</v>
      </c>
      <c r="G419" s="134">
        <f t="shared" ref="G419:I419" si="231">G420</f>
        <v>395600</v>
      </c>
      <c r="H419" s="134">
        <f t="shared" si="231"/>
        <v>345600</v>
      </c>
      <c r="I419" s="29">
        <f t="shared" si="231"/>
        <v>345600</v>
      </c>
      <c r="M419" s="258"/>
      <c r="N419" s="258"/>
      <c r="O419" s="162"/>
      <c r="AE419" s="54"/>
      <c r="AF419" s="54"/>
    </row>
    <row r="420" spans="1:32">
      <c r="A420" s="144">
        <v>404</v>
      </c>
      <c r="B420" s="143" t="s">
        <v>21</v>
      </c>
      <c r="C420" s="34" t="s">
        <v>153</v>
      </c>
      <c r="D420" s="34" t="s">
        <v>94</v>
      </c>
      <c r="E420" s="34">
        <v>9150000620</v>
      </c>
      <c r="F420" s="144">
        <v>240</v>
      </c>
      <c r="G420" s="134">
        <f>345600+50000</f>
        <v>395600</v>
      </c>
      <c r="H420" s="134">
        <v>345600</v>
      </c>
      <c r="I420" s="157">
        <v>345600</v>
      </c>
      <c r="J420" s="263"/>
      <c r="M420" s="258"/>
      <c r="N420" s="258"/>
      <c r="O420" s="162"/>
      <c r="AE420" s="54"/>
      <c r="AF420" s="54"/>
    </row>
    <row r="421" spans="1:32">
      <c r="A421" s="144">
        <v>405</v>
      </c>
      <c r="B421" s="143" t="s">
        <v>32</v>
      </c>
      <c r="C421" s="34" t="s">
        <v>153</v>
      </c>
      <c r="D421" s="34" t="s">
        <v>94</v>
      </c>
      <c r="E421" s="34">
        <v>9150000620</v>
      </c>
      <c r="F421" s="144">
        <v>800</v>
      </c>
      <c r="G421" s="134">
        <f t="shared" ref="G421:I421" si="232">G422</f>
        <v>1000</v>
      </c>
      <c r="H421" s="134">
        <f t="shared" si="232"/>
        <v>1000</v>
      </c>
      <c r="I421" s="29">
        <f t="shared" si="232"/>
        <v>1000</v>
      </c>
      <c r="M421" s="258"/>
      <c r="N421" s="258"/>
      <c r="O421" s="162"/>
      <c r="AE421" s="54"/>
      <c r="AF421" s="54"/>
    </row>
    <row r="422" spans="1:32">
      <c r="A422" s="144">
        <v>406</v>
      </c>
      <c r="B422" s="143" t="s">
        <v>80</v>
      </c>
      <c r="C422" s="34" t="s">
        <v>153</v>
      </c>
      <c r="D422" s="34" t="s">
        <v>94</v>
      </c>
      <c r="E422" s="34">
        <v>9150000620</v>
      </c>
      <c r="F422" s="144">
        <v>850</v>
      </c>
      <c r="G422" s="134">
        <v>1000</v>
      </c>
      <c r="H422" s="134">
        <v>1000</v>
      </c>
      <c r="I422" s="157">
        <v>1000</v>
      </c>
      <c r="M422" s="258"/>
      <c r="N422" s="258"/>
      <c r="O422" s="162"/>
      <c r="AE422" s="54"/>
      <c r="AF422" s="54"/>
    </row>
    <row r="423" spans="1:32">
      <c r="A423" s="144">
        <v>407</v>
      </c>
      <c r="B423" s="307" t="s">
        <v>280</v>
      </c>
      <c r="C423" s="34" t="s">
        <v>153</v>
      </c>
      <c r="D423" s="34" t="s">
        <v>94</v>
      </c>
      <c r="E423" s="34" t="s">
        <v>178</v>
      </c>
      <c r="F423" s="144"/>
      <c r="G423" s="134">
        <f t="shared" ref="G423:I423" si="233">G424</f>
        <v>900000</v>
      </c>
      <c r="H423" s="134">
        <f t="shared" si="233"/>
        <v>600000</v>
      </c>
      <c r="I423" s="29">
        <f t="shared" si="233"/>
        <v>600000</v>
      </c>
      <c r="M423" s="258"/>
      <c r="N423" s="258"/>
      <c r="O423" s="162"/>
      <c r="AE423" s="54"/>
      <c r="AF423" s="54"/>
    </row>
    <row r="424" spans="1:32" ht="30">
      <c r="A424" s="144">
        <v>408</v>
      </c>
      <c r="B424" s="306" t="s">
        <v>382</v>
      </c>
      <c r="C424" s="34" t="s">
        <v>153</v>
      </c>
      <c r="D424" s="34" t="s">
        <v>94</v>
      </c>
      <c r="E424" s="34" t="s">
        <v>179</v>
      </c>
      <c r="F424" s="144"/>
      <c r="G424" s="134">
        <f t="shared" ref="G424:H424" si="234">G425+G428</f>
        <v>900000</v>
      </c>
      <c r="H424" s="134">
        <f t="shared" si="234"/>
        <v>600000</v>
      </c>
      <c r="I424" s="29">
        <f t="shared" ref="I424" si="235">I425+I428</f>
        <v>600000</v>
      </c>
      <c r="M424" s="258"/>
      <c r="N424" s="258"/>
      <c r="O424" s="162"/>
      <c r="AE424" s="54"/>
      <c r="AF424" s="54"/>
    </row>
    <row r="425" spans="1:32" ht="45">
      <c r="A425" s="144">
        <v>409</v>
      </c>
      <c r="B425" s="306" t="s">
        <v>364</v>
      </c>
      <c r="C425" s="34" t="s">
        <v>153</v>
      </c>
      <c r="D425" s="34" t="s">
        <v>94</v>
      </c>
      <c r="E425" s="34" t="s">
        <v>283</v>
      </c>
      <c r="F425" s="144"/>
      <c r="G425" s="134">
        <f t="shared" ref="G425:I426" si="236">G426</f>
        <v>600000</v>
      </c>
      <c r="H425" s="134">
        <f t="shared" si="236"/>
        <v>300000</v>
      </c>
      <c r="I425" s="29">
        <f t="shared" si="236"/>
        <v>300000</v>
      </c>
      <c r="M425" s="258"/>
      <c r="N425" s="258"/>
      <c r="O425" s="162"/>
      <c r="AE425" s="54"/>
      <c r="AF425" s="54"/>
    </row>
    <row r="426" spans="1:32">
      <c r="A426" s="144">
        <v>410</v>
      </c>
      <c r="B426" s="143" t="s">
        <v>20</v>
      </c>
      <c r="C426" s="34" t="s">
        <v>153</v>
      </c>
      <c r="D426" s="34" t="s">
        <v>94</v>
      </c>
      <c r="E426" s="34" t="s">
        <v>283</v>
      </c>
      <c r="F426" s="144">
        <v>200</v>
      </c>
      <c r="G426" s="134">
        <f t="shared" si="236"/>
        <v>600000</v>
      </c>
      <c r="H426" s="134">
        <f t="shared" si="236"/>
        <v>300000</v>
      </c>
      <c r="I426" s="29">
        <f t="shared" si="236"/>
        <v>300000</v>
      </c>
      <c r="M426" s="258"/>
      <c r="N426" s="258"/>
      <c r="O426" s="162"/>
      <c r="AE426" s="54"/>
      <c r="AF426" s="54"/>
    </row>
    <row r="427" spans="1:32">
      <c r="A427" s="144">
        <v>411</v>
      </c>
      <c r="B427" s="143" t="s">
        <v>21</v>
      </c>
      <c r="C427" s="34" t="s">
        <v>153</v>
      </c>
      <c r="D427" s="34" t="s">
        <v>94</v>
      </c>
      <c r="E427" s="34" t="s">
        <v>283</v>
      </c>
      <c r="F427" s="144">
        <v>240</v>
      </c>
      <c r="G427" s="134">
        <f>300000+300000</f>
        <v>600000</v>
      </c>
      <c r="H427" s="134">
        <v>300000</v>
      </c>
      <c r="I427" s="157">
        <v>300000</v>
      </c>
      <c r="M427" s="258"/>
      <c r="N427" s="258"/>
      <c r="O427" s="162"/>
      <c r="AE427" s="54"/>
      <c r="AF427" s="54"/>
    </row>
    <row r="428" spans="1:32" ht="45">
      <c r="A428" s="144">
        <v>412</v>
      </c>
      <c r="B428" s="306" t="s">
        <v>365</v>
      </c>
      <c r="C428" s="34" t="s">
        <v>153</v>
      </c>
      <c r="D428" s="34" t="s">
        <v>94</v>
      </c>
      <c r="E428" s="34" t="s">
        <v>284</v>
      </c>
      <c r="F428" s="144"/>
      <c r="G428" s="134">
        <f t="shared" ref="G428:I429" si="237">G429</f>
        <v>300000</v>
      </c>
      <c r="H428" s="134">
        <f t="shared" si="237"/>
        <v>300000</v>
      </c>
      <c r="I428" s="29">
        <f t="shared" si="237"/>
        <v>300000</v>
      </c>
      <c r="M428" s="258"/>
      <c r="N428" s="258"/>
      <c r="O428" s="162"/>
      <c r="AE428" s="54"/>
      <c r="AF428" s="54"/>
    </row>
    <row r="429" spans="1:32">
      <c r="A429" s="144">
        <v>413</v>
      </c>
      <c r="B429" s="143" t="s">
        <v>20</v>
      </c>
      <c r="C429" s="34" t="s">
        <v>153</v>
      </c>
      <c r="D429" s="34" t="s">
        <v>94</v>
      </c>
      <c r="E429" s="34" t="s">
        <v>284</v>
      </c>
      <c r="F429" s="144">
        <v>200</v>
      </c>
      <c r="G429" s="134">
        <f t="shared" si="237"/>
        <v>300000</v>
      </c>
      <c r="H429" s="134">
        <f t="shared" si="237"/>
        <v>300000</v>
      </c>
      <c r="I429" s="29">
        <f t="shared" si="237"/>
        <v>300000</v>
      </c>
      <c r="M429" s="258"/>
      <c r="N429" s="258"/>
      <c r="O429" s="162"/>
      <c r="AE429" s="54"/>
      <c r="AF429" s="54"/>
    </row>
    <row r="430" spans="1:32">
      <c r="A430" s="144">
        <v>414</v>
      </c>
      <c r="B430" s="143" t="s">
        <v>21</v>
      </c>
      <c r="C430" s="34" t="s">
        <v>153</v>
      </c>
      <c r="D430" s="34" t="s">
        <v>94</v>
      </c>
      <c r="E430" s="34" t="s">
        <v>284</v>
      </c>
      <c r="F430" s="144">
        <v>240</v>
      </c>
      <c r="G430" s="134">
        <v>300000</v>
      </c>
      <c r="H430" s="134">
        <v>300000</v>
      </c>
      <c r="I430" s="157">
        <v>300000</v>
      </c>
      <c r="M430" s="258"/>
      <c r="N430" s="258"/>
      <c r="O430" s="162"/>
      <c r="AE430" s="54"/>
      <c r="AF430" s="54"/>
    </row>
    <row r="431" spans="1:32" ht="35.25" customHeight="1">
      <c r="A431" s="144">
        <v>415</v>
      </c>
      <c r="B431" s="301" t="s">
        <v>235</v>
      </c>
      <c r="C431" s="302">
        <v>951</v>
      </c>
      <c r="D431" s="303"/>
      <c r="E431" s="302"/>
      <c r="F431" s="303"/>
      <c r="G431" s="304">
        <f>G432+G558</f>
        <v>802269464.86000001</v>
      </c>
      <c r="H431" s="304">
        <f>H432+H558</f>
        <v>720448355</v>
      </c>
      <c r="I431" s="46">
        <f>I432+I558</f>
        <v>720822084.29999995</v>
      </c>
      <c r="M431" s="258"/>
      <c r="N431" s="258"/>
      <c r="O431" s="162"/>
      <c r="AE431" s="54"/>
      <c r="AF431" s="54"/>
    </row>
    <row r="432" spans="1:32">
      <c r="A432" s="144">
        <v>416</v>
      </c>
      <c r="B432" s="305" t="s">
        <v>113</v>
      </c>
      <c r="C432" s="34">
        <v>951</v>
      </c>
      <c r="D432" s="34" t="s">
        <v>114</v>
      </c>
      <c r="E432" s="34"/>
      <c r="F432" s="144"/>
      <c r="G432" s="134">
        <f>G433+G465+G521+G547</f>
        <v>780193369.65999997</v>
      </c>
      <c r="H432" s="134">
        <f>H433+H465+H521+H547</f>
        <v>698372118.79999995</v>
      </c>
      <c r="I432" s="29">
        <f>I433+I465+I521+I547</f>
        <v>698889823.74000001</v>
      </c>
      <c r="M432" s="258"/>
      <c r="N432" s="258"/>
      <c r="O432" s="162"/>
      <c r="AE432" s="54"/>
      <c r="AF432" s="54"/>
    </row>
    <row r="433" spans="1:32">
      <c r="A433" s="144">
        <v>417</v>
      </c>
      <c r="B433" s="143" t="s">
        <v>115</v>
      </c>
      <c r="C433" s="34">
        <v>951</v>
      </c>
      <c r="D433" s="34" t="s">
        <v>116</v>
      </c>
      <c r="E433" s="34"/>
      <c r="F433" s="144"/>
      <c r="G433" s="134">
        <f>G434+G460</f>
        <v>233627052.20000002</v>
      </c>
      <c r="H433" s="134">
        <f t="shared" ref="H433:I433" si="238">H434+H460</f>
        <v>209000895</v>
      </c>
      <c r="I433" s="29">
        <f t="shared" si="238"/>
        <v>209000895</v>
      </c>
      <c r="M433" s="258"/>
      <c r="N433" s="258"/>
      <c r="O433" s="162"/>
      <c r="AE433" s="54"/>
      <c r="AF433" s="54"/>
    </row>
    <row r="434" spans="1:32" ht="30">
      <c r="A434" s="144">
        <v>418</v>
      </c>
      <c r="B434" s="306" t="s">
        <v>54</v>
      </c>
      <c r="C434" s="34">
        <v>951</v>
      </c>
      <c r="D434" s="34" t="s">
        <v>116</v>
      </c>
      <c r="E434" s="34" t="s">
        <v>184</v>
      </c>
      <c r="F434" s="144"/>
      <c r="G434" s="134">
        <f t="shared" ref="G434:I434" si="239">G435</f>
        <v>233559927.20000002</v>
      </c>
      <c r="H434" s="134">
        <f t="shared" si="239"/>
        <v>209000895</v>
      </c>
      <c r="I434" s="29">
        <f t="shared" si="239"/>
        <v>209000895</v>
      </c>
      <c r="M434" s="258"/>
      <c r="N434" s="258"/>
      <c r="O434" s="162"/>
      <c r="AE434" s="54"/>
      <c r="AF434" s="54"/>
    </row>
    <row r="435" spans="1:32">
      <c r="A435" s="144">
        <v>419</v>
      </c>
      <c r="B435" s="306" t="s">
        <v>135</v>
      </c>
      <c r="C435" s="34">
        <v>951</v>
      </c>
      <c r="D435" s="34" t="s">
        <v>116</v>
      </c>
      <c r="E435" s="34" t="s">
        <v>194</v>
      </c>
      <c r="F435" s="144"/>
      <c r="G435" s="134">
        <f>G436+G445+G448+G451+G442+G439+G454+G457</f>
        <v>233559927.20000002</v>
      </c>
      <c r="H435" s="134">
        <f t="shared" ref="H435:I435" si="240">H436+H445+H448+H451+H442+H439+H454+H457</f>
        <v>209000895</v>
      </c>
      <c r="I435" s="29">
        <f t="shared" si="240"/>
        <v>209000895</v>
      </c>
      <c r="M435" s="258"/>
      <c r="N435" s="258"/>
      <c r="O435" s="162"/>
      <c r="AE435" s="54"/>
      <c r="AF435" s="54"/>
    </row>
    <row r="436" spans="1:32" ht="45">
      <c r="A436" s="144">
        <v>420</v>
      </c>
      <c r="B436" s="143" t="s">
        <v>332</v>
      </c>
      <c r="C436" s="34">
        <v>951</v>
      </c>
      <c r="D436" s="34" t="s">
        <v>116</v>
      </c>
      <c r="E436" s="34" t="s">
        <v>195</v>
      </c>
      <c r="F436" s="144"/>
      <c r="G436" s="134">
        <f t="shared" ref="G436:I436" si="241">G437</f>
        <v>119620260</v>
      </c>
      <c r="H436" s="134">
        <f t="shared" si="241"/>
        <v>109276060</v>
      </c>
      <c r="I436" s="29">
        <f t="shared" si="241"/>
        <v>112276060</v>
      </c>
      <c r="M436" s="258"/>
      <c r="N436" s="258"/>
      <c r="O436" s="162"/>
      <c r="AE436" s="54"/>
      <c r="AF436" s="54"/>
    </row>
    <row r="437" spans="1:32" ht="30">
      <c r="A437" s="144">
        <v>421</v>
      </c>
      <c r="B437" s="143" t="s">
        <v>49</v>
      </c>
      <c r="C437" s="34">
        <v>951</v>
      </c>
      <c r="D437" s="34" t="s">
        <v>116</v>
      </c>
      <c r="E437" s="34" t="s">
        <v>195</v>
      </c>
      <c r="F437" s="144">
        <v>600</v>
      </c>
      <c r="G437" s="134">
        <f t="shared" ref="G437" si="242">G438</f>
        <v>119620260</v>
      </c>
      <c r="H437" s="134">
        <f t="shared" ref="H437:I437" si="243">H438</f>
        <v>109276060</v>
      </c>
      <c r="I437" s="29">
        <f t="shared" si="243"/>
        <v>112276060</v>
      </c>
      <c r="J437" s="276"/>
      <c r="K437" s="276"/>
      <c r="M437" s="258"/>
      <c r="N437" s="258"/>
      <c r="O437" s="162"/>
      <c r="AE437" s="54"/>
      <c r="AF437" s="54"/>
    </row>
    <row r="438" spans="1:32">
      <c r="A438" s="144">
        <v>422</v>
      </c>
      <c r="B438" s="143" t="s">
        <v>67</v>
      </c>
      <c r="C438" s="34">
        <v>951</v>
      </c>
      <c r="D438" s="34" t="s">
        <v>116</v>
      </c>
      <c r="E438" s="34" t="s">
        <v>195</v>
      </c>
      <c r="F438" s="144">
        <v>610</v>
      </c>
      <c r="G438" s="134">
        <f>107182470+4022900+1070690+6453300+890900</f>
        <v>119620260</v>
      </c>
      <c r="H438" s="134">
        <f>112276060-3000000</f>
        <v>109276060</v>
      </c>
      <c r="I438" s="157">
        <v>112276060</v>
      </c>
      <c r="J438" s="276"/>
      <c r="M438" s="258"/>
      <c r="N438" s="258"/>
      <c r="O438" s="162"/>
      <c r="AE438" s="54"/>
      <c r="AF438" s="54"/>
    </row>
    <row r="439" spans="1:32" ht="66" customHeight="1">
      <c r="A439" s="144">
        <v>423</v>
      </c>
      <c r="B439" s="143" t="s">
        <v>508</v>
      </c>
      <c r="C439" s="34" t="s">
        <v>165</v>
      </c>
      <c r="D439" s="34" t="s">
        <v>116</v>
      </c>
      <c r="E439" s="34" t="s">
        <v>509</v>
      </c>
      <c r="F439" s="144"/>
      <c r="G439" s="134">
        <f>G440</f>
        <v>1850535.36</v>
      </c>
      <c r="H439" s="134">
        <f t="shared" ref="H439:I440" si="244">H440</f>
        <v>1553535</v>
      </c>
      <c r="I439" s="29">
        <f t="shared" si="244"/>
        <v>1553535</v>
      </c>
      <c r="M439" s="258"/>
      <c r="N439" s="258"/>
      <c r="O439" s="162"/>
      <c r="AE439" s="54"/>
      <c r="AF439" s="54"/>
    </row>
    <row r="440" spans="1:32" ht="30">
      <c r="A440" s="144">
        <v>424</v>
      </c>
      <c r="B440" s="143" t="s">
        <v>49</v>
      </c>
      <c r="C440" s="34" t="s">
        <v>165</v>
      </c>
      <c r="D440" s="34" t="s">
        <v>116</v>
      </c>
      <c r="E440" s="34" t="s">
        <v>509</v>
      </c>
      <c r="F440" s="144">
        <v>600</v>
      </c>
      <c r="G440" s="134">
        <f>G441</f>
        <v>1850535.36</v>
      </c>
      <c r="H440" s="134">
        <f t="shared" si="244"/>
        <v>1553535</v>
      </c>
      <c r="I440" s="29">
        <f t="shared" si="244"/>
        <v>1553535</v>
      </c>
      <c r="J440" s="276"/>
      <c r="M440" s="258"/>
      <c r="N440" s="258"/>
      <c r="O440" s="162"/>
      <c r="AE440" s="54"/>
      <c r="AF440" s="54"/>
    </row>
    <row r="441" spans="1:32">
      <c r="A441" s="144">
        <v>425</v>
      </c>
      <c r="B441" s="143" t="s">
        <v>67</v>
      </c>
      <c r="C441" s="34" t="s">
        <v>165</v>
      </c>
      <c r="D441" s="34" t="s">
        <v>116</v>
      </c>
      <c r="E441" s="34" t="s">
        <v>509</v>
      </c>
      <c r="F441" s="144">
        <v>610</v>
      </c>
      <c r="G441" s="134">
        <f>1153500+11535+384500+4000+0.36+297000</f>
        <v>1850535.36</v>
      </c>
      <c r="H441" s="134">
        <f>1153500+11535+384500+4000</f>
        <v>1553535</v>
      </c>
      <c r="I441" s="157">
        <f>1153500+1535+384500+4000+10000</f>
        <v>1553535</v>
      </c>
      <c r="J441" s="263"/>
      <c r="M441" s="258"/>
      <c r="N441" s="258"/>
      <c r="O441" s="247"/>
      <c r="AE441" s="54"/>
      <c r="AF441" s="54"/>
    </row>
    <row r="442" spans="1:32" ht="60">
      <c r="A442" s="144">
        <v>426</v>
      </c>
      <c r="B442" s="143" t="s">
        <v>477</v>
      </c>
      <c r="C442" s="34" t="s">
        <v>165</v>
      </c>
      <c r="D442" s="34" t="s">
        <v>116</v>
      </c>
      <c r="E442" s="34" t="s">
        <v>478</v>
      </c>
      <c r="F442" s="144"/>
      <c r="G442" s="134">
        <f>G443</f>
        <v>10747731.84</v>
      </c>
      <c r="H442" s="134">
        <f t="shared" ref="H442:I443" si="245">H443</f>
        <v>0</v>
      </c>
      <c r="I442" s="29">
        <f t="shared" si="245"/>
        <v>0</v>
      </c>
      <c r="J442" s="276"/>
      <c r="M442" s="258"/>
      <c r="N442" s="258"/>
      <c r="O442" s="162"/>
      <c r="AE442" s="54"/>
      <c r="AF442" s="54"/>
    </row>
    <row r="443" spans="1:32" ht="30">
      <c r="A443" s="144">
        <v>427</v>
      </c>
      <c r="B443" s="143" t="s">
        <v>49</v>
      </c>
      <c r="C443" s="34" t="s">
        <v>165</v>
      </c>
      <c r="D443" s="34" t="s">
        <v>116</v>
      </c>
      <c r="E443" s="34" t="s">
        <v>478</v>
      </c>
      <c r="F443" s="144">
        <v>600</v>
      </c>
      <c r="G443" s="134">
        <f>G444</f>
        <v>10747731.84</v>
      </c>
      <c r="H443" s="134">
        <f t="shared" si="245"/>
        <v>0</v>
      </c>
      <c r="I443" s="29">
        <f t="shared" si="245"/>
        <v>0</v>
      </c>
      <c r="J443" s="263"/>
      <c r="M443" s="258"/>
      <c r="N443" s="258"/>
      <c r="O443" s="162"/>
      <c r="AE443" s="54"/>
      <c r="AF443" s="54"/>
    </row>
    <row r="444" spans="1:32">
      <c r="A444" s="144">
        <v>428</v>
      </c>
      <c r="B444" s="143" t="s">
        <v>67</v>
      </c>
      <c r="C444" s="34" t="s">
        <v>165</v>
      </c>
      <c r="D444" s="34" t="s">
        <v>116</v>
      </c>
      <c r="E444" s="34" t="s">
        <v>478</v>
      </c>
      <c r="F444" s="144">
        <v>610</v>
      </c>
      <c r="G444" s="134">
        <f>117059.6+63613+91361.6+9882099.64+304360+289238</f>
        <v>10747731.84</v>
      </c>
      <c r="H444" s="134">
        <v>0</v>
      </c>
      <c r="I444" s="157">
        <v>0</v>
      </c>
      <c r="J444" s="246"/>
      <c r="M444" s="258"/>
      <c r="N444" s="258"/>
      <c r="O444" s="162"/>
      <c r="AE444" s="54"/>
      <c r="AF444" s="54"/>
    </row>
    <row r="445" spans="1:32" ht="112.5" customHeight="1">
      <c r="A445" s="144">
        <v>429</v>
      </c>
      <c r="B445" s="315" t="s">
        <v>333</v>
      </c>
      <c r="C445" s="34">
        <v>951</v>
      </c>
      <c r="D445" s="34" t="s">
        <v>116</v>
      </c>
      <c r="E445" s="34" t="s">
        <v>196</v>
      </c>
      <c r="F445" s="144"/>
      <c r="G445" s="134">
        <f t="shared" ref="G445" si="246">G446</f>
        <v>42591500</v>
      </c>
      <c r="H445" s="134">
        <f t="shared" ref="H445:I445" si="247">H446</f>
        <v>39876300</v>
      </c>
      <c r="I445" s="29">
        <f t="shared" si="247"/>
        <v>39876300</v>
      </c>
      <c r="M445" s="258"/>
      <c r="N445" s="258"/>
      <c r="O445" s="162"/>
      <c r="AE445" s="54"/>
      <c r="AF445" s="54"/>
    </row>
    <row r="446" spans="1:32" ht="30">
      <c r="A446" s="144">
        <v>430</v>
      </c>
      <c r="B446" s="143" t="s">
        <v>49</v>
      </c>
      <c r="C446" s="34">
        <v>951</v>
      </c>
      <c r="D446" s="34" t="s">
        <v>116</v>
      </c>
      <c r="E446" s="34" t="s">
        <v>196</v>
      </c>
      <c r="F446" s="144">
        <v>600</v>
      </c>
      <c r="G446" s="134">
        <f t="shared" ref="G446" si="248">G447</f>
        <v>42591500</v>
      </c>
      <c r="H446" s="134">
        <f t="shared" ref="H446:I446" si="249">H447</f>
        <v>39876300</v>
      </c>
      <c r="I446" s="29">
        <f t="shared" si="249"/>
        <v>39876300</v>
      </c>
      <c r="M446" s="258"/>
      <c r="N446" s="258"/>
      <c r="O446" s="162"/>
      <c r="AE446" s="54"/>
      <c r="AF446" s="54"/>
    </row>
    <row r="447" spans="1:32">
      <c r="A447" s="144">
        <v>431</v>
      </c>
      <c r="B447" s="143" t="s">
        <v>67</v>
      </c>
      <c r="C447" s="34">
        <v>951</v>
      </c>
      <c r="D447" s="34" t="s">
        <v>116</v>
      </c>
      <c r="E447" s="34" t="s">
        <v>196</v>
      </c>
      <c r="F447" s="144">
        <v>610</v>
      </c>
      <c r="G447" s="134">
        <f>39876300+2715200</f>
        <v>42591500</v>
      </c>
      <c r="H447" s="134">
        <v>39876300</v>
      </c>
      <c r="I447" s="157">
        <v>39876300</v>
      </c>
      <c r="J447" s="246"/>
      <c r="M447" s="258"/>
      <c r="N447" s="258"/>
      <c r="O447" s="162"/>
      <c r="AE447" s="54"/>
      <c r="AF447" s="54"/>
    </row>
    <row r="448" spans="1:32" ht="105">
      <c r="A448" s="144">
        <v>432</v>
      </c>
      <c r="B448" s="315" t="s">
        <v>334</v>
      </c>
      <c r="C448" s="34">
        <v>951</v>
      </c>
      <c r="D448" s="34" t="s">
        <v>116</v>
      </c>
      <c r="E448" s="34" t="s">
        <v>197</v>
      </c>
      <c r="F448" s="144"/>
      <c r="G448" s="134">
        <f t="shared" ref="G448:I449" si="250">G449</f>
        <v>57982700</v>
      </c>
      <c r="H448" s="134">
        <f t="shared" si="250"/>
        <v>54927800</v>
      </c>
      <c r="I448" s="29">
        <f t="shared" si="250"/>
        <v>54927800</v>
      </c>
      <c r="M448" s="258"/>
      <c r="N448" s="258"/>
      <c r="O448" s="162"/>
      <c r="AE448" s="54"/>
      <c r="AF448" s="54"/>
    </row>
    <row r="449" spans="1:32" ht="30">
      <c r="A449" s="144">
        <v>433</v>
      </c>
      <c r="B449" s="143" t="s">
        <v>49</v>
      </c>
      <c r="C449" s="34">
        <v>951</v>
      </c>
      <c r="D449" s="34" t="s">
        <v>116</v>
      </c>
      <c r="E449" s="34" t="s">
        <v>197</v>
      </c>
      <c r="F449" s="144">
        <v>600</v>
      </c>
      <c r="G449" s="134">
        <f t="shared" ref="G449" si="251">G450</f>
        <v>57982700</v>
      </c>
      <c r="H449" s="134">
        <f t="shared" si="250"/>
        <v>54927800</v>
      </c>
      <c r="I449" s="29">
        <f t="shared" si="250"/>
        <v>54927800</v>
      </c>
      <c r="M449" s="258"/>
      <c r="N449" s="258"/>
      <c r="O449" s="162"/>
      <c r="AE449" s="54"/>
      <c r="AF449" s="54"/>
    </row>
    <row r="450" spans="1:32">
      <c r="A450" s="144">
        <v>434</v>
      </c>
      <c r="B450" s="143" t="s">
        <v>67</v>
      </c>
      <c r="C450" s="34">
        <v>951</v>
      </c>
      <c r="D450" s="34" t="s">
        <v>116</v>
      </c>
      <c r="E450" s="34" t="s">
        <v>197</v>
      </c>
      <c r="F450" s="144">
        <v>610</v>
      </c>
      <c r="G450" s="134">
        <f>54927800+3054900</f>
        <v>57982700</v>
      </c>
      <c r="H450" s="134">
        <v>54927800</v>
      </c>
      <c r="I450" s="157">
        <v>54927800</v>
      </c>
      <c r="J450" s="246"/>
      <c r="M450" s="258"/>
      <c r="N450" s="258"/>
      <c r="O450" s="162"/>
      <c r="AE450" s="54"/>
      <c r="AF450" s="54"/>
    </row>
    <row r="451" spans="1:32" ht="105">
      <c r="A451" s="144">
        <v>435</v>
      </c>
      <c r="B451" s="322" t="s">
        <v>335</v>
      </c>
      <c r="C451" s="34">
        <v>951</v>
      </c>
      <c r="D451" s="34" t="s">
        <v>116</v>
      </c>
      <c r="E451" s="34" t="s">
        <v>198</v>
      </c>
      <c r="F451" s="144"/>
      <c r="G451" s="134">
        <f t="shared" ref="G451:I452" si="252">G452</f>
        <v>367200</v>
      </c>
      <c r="H451" s="134">
        <f t="shared" si="252"/>
        <v>367200</v>
      </c>
      <c r="I451" s="29">
        <f t="shared" si="252"/>
        <v>367200</v>
      </c>
      <c r="M451" s="258"/>
      <c r="N451" s="258"/>
      <c r="O451" s="162"/>
      <c r="AE451" s="54"/>
      <c r="AF451" s="54"/>
    </row>
    <row r="452" spans="1:32" ht="30">
      <c r="A452" s="144">
        <v>436</v>
      </c>
      <c r="B452" s="143" t="s">
        <v>49</v>
      </c>
      <c r="C452" s="34">
        <v>951</v>
      </c>
      <c r="D452" s="34" t="s">
        <v>116</v>
      </c>
      <c r="E452" s="34" t="s">
        <v>198</v>
      </c>
      <c r="F452" s="144">
        <v>600</v>
      </c>
      <c r="G452" s="134">
        <f t="shared" ref="G452" si="253">G453</f>
        <v>367200</v>
      </c>
      <c r="H452" s="134">
        <f t="shared" si="252"/>
        <v>367200</v>
      </c>
      <c r="I452" s="29">
        <f t="shared" si="252"/>
        <v>367200</v>
      </c>
      <c r="M452" s="258"/>
      <c r="N452" s="258"/>
      <c r="O452" s="162"/>
      <c r="AE452" s="54"/>
      <c r="AF452" s="54"/>
    </row>
    <row r="453" spans="1:32">
      <c r="A453" s="144">
        <v>437</v>
      </c>
      <c r="B453" s="143" t="s">
        <v>67</v>
      </c>
      <c r="C453" s="34">
        <v>951</v>
      </c>
      <c r="D453" s="34" t="s">
        <v>116</v>
      </c>
      <c r="E453" s="34" t="s">
        <v>198</v>
      </c>
      <c r="F453" s="144">
        <v>610</v>
      </c>
      <c r="G453" s="134">
        <v>367200</v>
      </c>
      <c r="H453" s="134">
        <v>367200</v>
      </c>
      <c r="I453" s="225">
        <v>367200</v>
      </c>
      <c r="M453" s="258"/>
      <c r="N453" s="258"/>
      <c r="O453" s="162"/>
      <c r="AE453" s="54"/>
      <c r="AF453" s="54"/>
    </row>
    <row r="454" spans="1:32" ht="60" customHeight="1">
      <c r="A454" s="144">
        <v>438</v>
      </c>
      <c r="B454" s="143" t="s">
        <v>582</v>
      </c>
      <c r="C454" s="34" t="s">
        <v>165</v>
      </c>
      <c r="D454" s="34" t="s">
        <v>116</v>
      </c>
      <c r="E454" s="34" t="s">
        <v>570</v>
      </c>
      <c r="F454" s="144"/>
      <c r="G454" s="134">
        <f>G455</f>
        <v>400000</v>
      </c>
      <c r="H454" s="134">
        <f t="shared" ref="H454:I455" si="254">H455</f>
        <v>0</v>
      </c>
      <c r="I454" s="29">
        <f t="shared" si="254"/>
        <v>0</v>
      </c>
      <c r="M454" s="258"/>
      <c r="N454" s="258"/>
      <c r="O454" s="162"/>
      <c r="AE454" s="54"/>
      <c r="AF454" s="54"/>
    </row>
    <row r="455" spans="1:32" ht="30">
      <c r="A455" s="144">
        <v>439</v>
      </c>
      <c r="B455" s="143" t="s">
        <v>551</v>
      </c>
      <c r="C455" s="34" t="s">
        <v>165</v>
      </c>
      <c r="D455" s="34" t="s">
        <v>116</v>
      </c>
      <c r="E455" s="34" t="s">
        <v>570</v>
      </c>
      <c r="F455" s="144">
        <v>600</v>
      </c>
      <c r="G455" s="134">
        <f>G456</f>
        <v>400000</v>
      </c>
      <c r="H455" s="134">
        <f t="shared" si="254"/>
        <v>0</v>
      </c>
      <c r="I455" s="29">
        <f t="shared" si="254"/>
        <v>0</v>
      </c>
      <c r="M455" s="258"/>
      <c r="N455" s="258"/>
      <c r="O455" s="162"/>
      <c r="AE455" s="54"/>
      <c r="AF455" s="54"/>
    </row>
    <row r="456" spans="1:32">
      <c r="A456" s="144">
        <v>440</v>
      </c>
      <c r="B456" s="143" t="s">
        <v>559</v>
      </c>
      <c r="C456" s="34" t="s">
        <v>165</v>
      </c>
      <c r="D456" s="34" t="s">
        <v>116</v>
      </c>
      <c r="E456" s="34" t="s">
        <v>570</v>
      </c>
      <c r="F456" s="144">
        <v>610</v>
      </c>
      <c r="G456" s="134">
        <v>400000</v>
      </c>
      <c r="H456" s="134">
        <v>0</v>
      </c>
      <c r="I456" s="29">
        <v>0</v>
      </c>
      <c r="J456" s="276"/>
      <c r="M456" s="258"/>
      <c r="N456" s="258"/>
      <c r="O456" s="162"/>
      <c r="AE456" s="54"/>
      <c r="AF456" s="54"/>
    </row>
    <row r="457" spans="1:32" ht="58.5" customHeight="1">
      <c r="A457" s="144">
        <v>441</v>
      </c>
      <c r="B457" s="143" t="s">
        <v>590</v>
      </c>
      <c r="C457" s="34" t="s">
        <v>165</v>
      </c>
      <c r="D457" s="34" t="s">
        <v>116</v>
      </c>
      <c r="E457" s="34" t="s">
        <v>591</v>
      </c>
      <c r="F457" s="144"/>
      <c r="G457" s="134">
        <f>G458</f>
        <v>0</v>
      </c>
      <c r="H457" s="134">
        <f t="shared" ref="H457:I458" si="255">H458</f>
        <v>3000000</v>
      </c>
      <c r="I457" s="29">
        <f t="shared" si="255"/>
        <v>0</v>
      </c>
      <c r="J457" s="276"/>
      <c r="M457" s="258"/>
      <c r="N457" s="258"/>
      <c r="O457" s="162"/>
      <c r="AE457" s="54"/>
      <c r="AF457" s="54"/>
    </row>
    <row r="458" spans="1:32" ht="33" customHeight="1">
      <c r="A458" s="144">
        <v>442</v>
      </c>
      <c r="B458" s="143" t="s">
        <v>572</v>
      </c>
      <c r="C458" s="34" t="s">
        <v>165</v>
      </c>
      <c r="D458" s="34" t="s">
        <v>116</v>
      </c>
      <c r="E458" s="34" t="s">
        <v>591</v>
      </c>
      <c r="F458" s="144">
        <v>600</v>
      </c>
      <c r="G458" s="134">
        <f>G459</f>
        <v>0</v>
      </c>
      <c r="H458" s="134">
        <f t="shared" si="255"/>
        <v>3000000</v>
      </c>
      <c r="I458" s="29">
        <f t="shared" si="255"/>
        <v>0</v>
      </c>
      <c r="J458" s="256"/>
      <c r="K458" s="276"/>
      <c r="M458" s="258"/>
      <c r="N458" s="258"/>
      <c r="O458" s="162"/>
      <c r="AE458" s="54"/>
      <c r="AF458" s="54"/>
    </row>
    <row r="459" spans="1:32">
      <c r="A459" s="144">
        <v>443</v>
      </c>
      <c r="B459" s="143" t="s">
        <v>67</v>
      </c>
      <c r="C459" s="34" t="s">
        <v>165</v>
      </c>
      <c r="D459" s="34" t="s">
        <v>116</v>
      </c>
      <c r="E459" s="34" t="s">
        <v>591</v>
      </c>
      <c r="F459" s="144">
        <v>610</v>
      </c>
      <c r="G459" s="134">
        <v>0</v>
      </c>
      <c r="H459" s="134">
        <v>3000000</v>
      </c>
      <c r="I459" s="29"/>
      <c r="J459" s="256"/>
      <c r="M459" s="258"/>
      <c r="N459" s="258"/>
      <c r="O459" s="162"/>
      <c r="AE459" s="54"/>
      <c r="AF459" s="54"/>
    </row>
    <row r="460" spans="1:32">
      <c r="A460" s="144">
        <v>444</v>
      </c>
      <c r="B460" s="143" t="s">
        <v>275</v>
      </c>
      <c r="C460" s="34" t="s">
        <v>165</v>
      </c>
      <c r="D460" s="34" t="s">
        <v>116</v>
      </c>
      <c r="E460" s="34" t="s">
        <v>272</v>
      </c>
      <c r="F460" s="144"/>
      <c r="G460" s="134">
        <f>G461</f>
        <v>67125</v>
      </c>
      <c r="H460" s="134">
        <f>H461</f>
        <v>0</v>
      </c>
      <c r="I460" s="134">
        <f>I461</f>
        <v>0</v>
      </c>
      <c r="M460" s="258"/>
      <c r="N460" s="258"/>
      <c r="O460" s="162"/>
      <c r="AE460" s="54"/>
      <c r="AF460" s="54"/>
    </row>
    <row r="461" spans="1:32">
      <c r="A461" s="144">
        <v>445</v>
      </c>
      <c r="B461" s="143" t="s">
        <v>555</v>
      </c>
      <c r="C461" s="34" t="s">
        <v>165</v>
      </c>
      <c r="D461" s="34" t="s">
        <v>116</v>
      </c>
      <c r="E461" s="34" t="s">
        <v>556</v>
      </c>
      <c r="F461" s="144"/>
      <c r="G461" s="134">
        <f>G462</f>
        <v>67125</v>
      </c>
      <c r="H461" s="134">
        <f t="shared" ref="H461:I463" si="256">H462</f>
        <v>0</v>
      </c>
      <c r="I461" s="134">
        <f t="shared" si="256"/>
        <v>0</v>
      </c>
      <c r="M461" s="258"/>
      <c r="N461" s="258"/>
      <c r="O461" s="162"/>
      <c r="AE461" s="54"/>
      <c r="AF461" s="54"/>
    </row>
    <row r="462" spans="1:32" ht="60">
      <c r="A462" s="144">
        <v>446</v>
      </c>
      <c r="B462" s="143" t="s">
        <v>557</v>
      </c>
      <c r="C462" s="34" t="s">
        <v>165</v>
      </c>
      <c r="D462" s="34" t="s">
        <v>116</v>
      </c>
      <c r="E462" s="34" t="s">
        <v>558</v>
      </c>
      <c r="F462" s="144"/>
      <c r="G462" s="134">
        <f>G463</f>
        <v>67125</v>
      </c>
      <c r="H462" s="134">
        <f t="shared" si="256"/>
        <v>0</v>
      </c>
      <c r="I462" s="134">
        <f t="shared" si="256"/>
        <v>0</v>
      </c>
      <c r="M462" s="258"/>
      <c r="N462" s="258"/>
      <c r="O462" s="162"/>
      <c r="AE462" s="54"/>
      <c r="AF462" s="54"/>
    </row>
    <row r="463" spans="1:32" ht="30">
      <c r="A463" s="144">
        <v>447</v>
      </c>
      <c r="B463" s="143" t="s">
        <v>49</v>
      </c>
      <c r="C463" s="34" t="s">
        <v>165</v>
      </c>
      <c r="D463" s="34" t="s">
        <v>116</v>
      </c>
      <c r="E463" s="34" t="s">
        <v>558</v>
      </c>
      <c r="F463" s="144">
        <v>600</v>
      </c>
      <c r="G463" s="134">
        <f>G464</f>
        <v>67125</v>
      </c>
      <c r="H463" s="134">
        <f t="shared" si="256"/>
        <v>0</v>
      </c>
      <c r="I463" s="134">
        <f t="shared" si="256"/>
        <v>0</v>
      </c>
      <c r="M463" s="258"/>
      <c r="N463" s="258"/>
      <c r="O463" s="162"/>
      <c r="AE463" s="54"/>
      <c r="AF463" s="54"/>
    </row>
    <row r="464" spans="1:32">
      <c r="A464" s="144">
        <v>448</v>
      </c>
      <c r="B464" s="143" t="s">
        <v>559</v>
      </c>
      <c r="C464" s="34" t="s">
        <v>165</v>
      </c>
      <c r="D464" s="34" t="s">
        <v>116</v>
      </c>
      <c r="E464" s="34" t="s">
        <v>558</v>
      </c>
      <c r="F464" s="144">
        <v>610</v>
      </c>
      <c r="G464" s="134">
        <v>67125</v>
      </c>
      <c r="H464" s="134">
        <v>0</v>
      </c>
      <c r="I464" s="134">
        <v>0</v>
      </c>
      <c r="J464" s="246"/>
      <c r="M464" s="258"/>
      <c r="N464" s="258"/>
      <c r="O464" s="162"/>
      <c r="AE464" s="54"/>
      <c r="AF464" s="54"/>
    </row>
    <row r="465" spans="1:32">
      <c r="A465" s="144">
        <v>449</v>
      </c>
      <c r="B465" s="306" t="s">
        <v>65</v>
      </c>
      <c r="C465" s="34">
        <v>951</v>
      </c>
      <c r="D465" s="34" t="s">
        <v>117</v>
      </c>
      <c r="E465" s="34"/>
      <c r="F465" s="144"/>
      <c r="G465" s="134">
        <f>G466+G518</f>
        <v>478160856.66000003</v>
      </c>
      <c r="H465" s="134">
        <f t="shared" ref="G465:I466" si="257">H466</f>
        <v>426332123.77999997</v>
      </c>
      <c r="I465" s="29">
        <f t="shared" si="257"/>
        <v>426849828.72000003</v>
      </c>
      <c r="M465" s="258"/>
      <c r="N465" s="258"/>
      <c r="O465" s="162"/>
      <c r="AE465" s="54"/>
      <c r="AF465" s="54"/>
    </row>
    <row r="466" spans="1:32" ht="30">
      <c r="A466" s="144">
        <v>450</v>
      </c>
      <c r="B466" s="306" t="s">
        <v>54</v>
      </c>
      <c r="C466" s="34">
        <v>951</v>
      </c>
      <c r="D466" s="34" t="s">
        <v>117</v>
      </c>
      <c r="E466" s="34" t="s">
        <v>184</v>
      </c>
      <c r="F466" s="144"/>
      <c r="G466" s="134">
        <f t="shared" si="257"/>
        <v>478066881.66000003</v>
      </c>
      <c r="H466" s="134">
        <f t="shared" si="257"/>
        <v>426332123.77999997</v>
      </c>
      <c r="I466" s="29">
        <f t="shared" si="257"/>
        <v>426849828.72000003</v>
      </c>
      <c r="M466" s="258"/>
      <c r="N466" s="258"/>
      <c r="O466" s="162"/>
      <c r="AE466" s="54"/>
      <c r="AF466" s="54"/>
    </row>
    <row r="467" spans="1:32">
      <c r="A467" s="144">
        <v>451</v>
      </c>
      <c r="B467" s="306" t="s">
        <v>136</v>
      </c>
      <c r="C467" s="34">
        <v>951</v>
      </c>
      <c r="D467" s="34" t="s">
        <v>117</v>
      </c>
      <c r="E467" s="34" t="s">
        <v>199</v>
      </c>
      <c r="F467" s="144"/>
      <c r="G467" s="134">
        <f>G468+G480+G483+G492+G495+G498+G513+G471+G489+G486+G477+G474+G501+G507+G504+G510</f>
        <v>478066881.66000003</v>
      </c>
      <c r="H467" s="134">
        <f t="shared" ref="H467:I467" si="258">H468+H480+H483+H492+H495+H498+H513+H471+H489+H486+H477+H474+H501</f>
        <v>426332123.77999997</v>
      </c>
      <c r="I467" s="29">
        <f t="shared" si="258"/>
        <v>426849828.72000003</v>
      </c>
      <c r="M467" s="258"/>
      <c r="N467" s="258"/>
      <c r="O467" s="162"/>
      <c r="AE467" s="54"/>
      <c r="AF467" s="54"/>
    </row>
    <row r="468" spans="1:32" ht="45">
      <c r="A468" s="144">
        <v>452</v>
      </c>
      <c r="B468" s="143" t="s">
        <v>336</v>
      </c>
      <c r="C468" s="34">
        <v>951</v>
      </c>
      <c r="D468" s="34" t="s">
        <v>117</v>
      </c>
      <c r="E468" s="34" t="s">
        <v>200</v>
      </c>
      <c r="F468" s="144"/>
      <c r="G468" s="134">
        <f t="shared" ref="G468:I468" si="259">G469</f>
        <v>194008540</v>
      </c>
      <c r="H468" s="134">
        <f t="shared" si="259"/>
        <v>191793547</v>
      </c>
      <c r="I468" s="29">
        <f t="shared" si="259"/>
        <v>191773051.94</v>
      </c>
      <c r="M468" s="258"/>
      <c r="N468" s="258"/>
      <c r="O468" s="162"/>
      <c r="AE468" s="54"/>
      <c r="AF468" s="54"/>
    </row>
    <row r="469" spans="1:32" ht="30">
      <c r="A469" s="144">
        <v>453</v>
      </c>
      <c r="B469" s="143" t="s">
        <v>49</v>
      </c>
      <c r="C469" s="34">
        <v>951</v>
      </c>
      <c r="D469" s="34" t="s">
        <v>117</v>
      </c>
      <c r="E469" s="34" t="s">
        <v>200</v>
      </c>
      <c r="F469" s="144">
        <v>600</v>
      </c>
      <c r="G469" s="134">
        <f t="shared" ref="G469" si="260">G470</f>
        <v>194008540</v>
      </c>
      <c r="H469" s="134">
        <f t="shared" ref="H469:I469" si="261">H470</f>
        <v>191793547</v>
      </c>
      <c r="I469" s="29">
        <f t="shared" si="261"/>
        <v>191773051.94</v>
      </c>
      <c r="J469" s="276"/>
      <c r="M469" s="258"/>
      <c r="N469" s="258"/>
      <c r="O469" s="162"/>
      <c r="AE469" s="54"/>
      <c r="AF469" s="54"/>
    </row>
    <row r="470" spans="1:32">
      <c r="A470" s="144">
        <v>454</v>
      </c>
      <c r="B470" s="143" t="s">
        <v>67</v>
      </c>
      <c r="C470" s="34">
        <v>951</v>
      </c>
      <c r="D470" s="34" t="s">
        <v>117</v>
      </c>
      <c r="E470" s="34" t="s">
        <v>200</v>
      </c>
      <c r="F470" s="144">
        <v>610</v>
      </c>
      <c r="G470" s="134">
        <f>152625400+6325760+2192540+36045000-5390000+10240840+269000-8300000</f>
        <v>194008540</v>
      </c>
      <c r="H470" s="134">
        <f>191798700-5153</f>
        <v>191793547</v>
      </c>
      <c r="I470" s="157">
        <f>191798700-25648.06</f>
        <v>191773051.94</v>
      </c>
      <c r="J470" s="246"/>
      <c r="M470" s="258"/>
      <c r="N470" s="258"/>
      <c r="O470" s="162"/>
      <c r="AE470" s="54"/>
      <c r="AF470" s="54"/>
    </row>
    <row r="471" spans="1:32" ht="30">
      <c r="A471" s="144">
        <v>455</v>
      </c>
      <c r="B471" s="307" t="s">
        <v>467</v>
      </c>
      <c r="C471" s="34" t="s">
        <v>165</v>
      </c>
      <c r="D471" s="34" t="s">
        <v>117</v>
      </c>
      <c r="E471" s="34" t="s">
        <v>560</v>
      </c>
      <c r="F471" s="144"/>
      <c r="G471" s="134">
        <f>G472</f>
        <v>18701900</v>
      </c>
      <c r="H471" s="134">
        <f t="shared" ref="H471:I472" si="262">H472</f>
        <v>18701900</v>
      </c>
      <c r="I471" s="29">
        <f t="shared" si="262"/>
        <v>18701900</v>
      </c>
      <c r="M471" s="258"/>
      <c r="N471" s="258"/>
      <c r="O471" s="162"/>
      <c r="AE471" s="54"/>
      <c r="AF471" s="54"/>
    </row>
    <row r="472" spans="1:32" ht="30">
      <c r="A472" s="144">
        <v>456</v>
      </c>
      <c r="B472" s="143" t="s">
        <v>49</v>
      </c>
      <c r="C472" s="34" t="s">
        <v>165</v>
      </c>
      <c r="D472" s="34" t="s">
        <v>117</v>
      </c>
      <c r="E472" s="34" t="s">
        <v>560</v>
      </c>
      <c r="F472" s="144">
        <v>600</v>
      </c>
      <c r="G472" s="134">
        <f>G473</f>
        <v>18701900</v>
      </c>
      <c r="H472" s="134">
        <f t="shared" si="262"/>
        <v>18701900</v>
      </c>
      <c r="I472" s="29">
        <f t="shared" si="262"/>
        <v>18701900</v>
      </c>
      <c r="M472" s="258"/>
      <c r="N472" s="258"/>
      <c r="O472" s="162"/>
      <c r="AE472" s="54"/>
      <c r="AF472" s="54"/>
    </row>
    <row r="473" spans="1:32">
      <c r="A473" s="144">
        <v>457</v>
      </c>
      <c r="B473" s="143" t="s">
        <v>67</v>
      </c>
      <c r="C473" s="34" t="s">
        <v>165</v>
      </c>
      <c r="D473" s="34" t="s">
        <v>117</v>
      </c>
      <c r="E473" s="34" t="s">
        <v>560</v>
      </c>
      <c r="F473" s="144">
        <v>610</v>
      </c>
      <c r="G473" s="134">
        <v>18701900</v>
      </c>
      <c r="H473" s="134">
        <v>18701900</v>
      </c>
      <c r="I473" s="157">
        <v>18701900</v>
      </c>
      <c r="J473" s="246"/>
      <c r="K473" s="246"/>
      <c r="L473" s="246"/>
      <c r="M473" s="258"/>
      <c r="N473" s="258"/>
      <c r="O473" s="162"/>
      <c r="AE473" s="54"/>
      <c r="AF473" s="54"/>
    </row>
    <row r="474" spans="1:32" ht="75">
      <c r="A474" s="144">
        <v>458</v>
      </c>
      <c r="B474" s="307" t="s">
        <v>533</v>
      </c>
      <c r="C474" s="34" t="s">
        <v>165</v>
      </c>
      <c r="D474" s="34" t="s">
        <v>117</v>
      </c>
      <c r="E474" s="34" t="s">
        <v>534</v>
      </c>
      <c r="F474" s="144"/>
      <c r="G474" s="134">
        <f>G475</f>
        <v>2727273</v>
      </c>
      <c r="H474" s="134"/>
      <c r="I474" s="157"/>
      <c r="M474" s="258"/>
      <c r="N474" s="258"/>
      <c r="O474" s="162"/>
      <c r="AE474" s="54"/>
      <c r="AF474" s="54"/>
    </row>
    <row r="475" spans="1:32" ht="30">
      <c r="A475" s="144">
        <v>459</v>
      </c>
      <c r="B475" s="143" t="s">
        <v>49</v>
      </c>
      <c r="C475" s="34" t="s">
        <v>165</v>
      </c>
      <c r="D475" s="34" t="s">
        <v>117</v>
      </c>
      <c r="E475" s="34" t="s">
        <v>534</v>
      </c>
      <c r="F475" s="144">
        <v>600</v>
      </c>
      <c r="G475" s="134">
        <f>G476</f>
        <v>2727273</v>
      </c>
      <c r="H475" s="134"/>
      <c r="I475" s="157"/>
      <c r="M475" s="258"/>
      <c r="N475" s="258"/>
      <c r="O475" s="162"/>
      <c r="AE475" s="54"/>
      <c r="AF475" s="54"/>
    </row>
    <row r="476" spans="1:32">
      <c r="A476" s="144">
        <v>460</v>
      </c>
      <c r="B476" s="143" t="s">
        <v>67</v>
      </c>
      <c r="C476" s="34" t="s">
        <v>165</v>
      </c>
      <c r="D476" s="34" t="s">
        <v>117</v>
      </c>
      <c r="E476" s="34" t="s">
        <v>534</v>
      </c>
      <c r="F476" s="144">
        <v>610</v>
      </c>
      <c r="G476" s="134">
        <f>2700000+27273</f>
        <v>2727273</v>
      </c>
      <c r="H476" s="134">
        <v>0</v>
      </c>
      <c r="I476" s="157">
        <v>0</v>
      </c>
      <c r="M476" s="258"/>
      <c r="N476" s="258"/>
      <c r="O476" s="162"/>
      <c r="AE476" s="54"/>
      <c r="AF476" s="54"/>
    </row>
    <row r="477" spans="1:32" ht="45">
      <c r="A477" s="144">
        <v>461</v>
      </c>
      <c r="B477" s="143" t="s">
        <v>512</v>
      </c>
      <c r="C477" s="34" t="s">
        <v>165</v>
      </c>
      <c r="D477" s="34" t="s">
        <v>117</v>
      </c>
      <c r="E477" s="34" t="s">
        <v>513</v>
      </c>
      <c r="F477" s="144"/>
      <c r="G477" s="134">
        <f>G478</f>
        <v>4060000</v>
      </c>
      <c r="H477" s="134">
        <f t="shared" ref="H477:I478" si="263">H478</f>
        <v>0</v>
      </c>
      <c r="I477" s="29">
        <f t="shared" si="263"/>
        <v>0</v>
      </c>
      <c r="M477" s="258"/>
      <c r="N477" s="258"/>
      <c r="O477" s="162"/>
      <c r="AE477" s="54"/>
      <c r="AF477" s="54"/>
    </row>
    <row r="478" spans="1:32" ht="30">
      <c r="A478" s="144">
        <v>462</v>
      </c>
      <c r="B478" s="143" t="s">
        <v>49</v>
      </c>
      <c r="C478" s="34" t="s">
        <v>165</v>
      </c>
      <c r="D478" s="34" t="s">
        <v>117</v>
      </c>
      <c r="E478" s="34" t="s">
        <v>513</v>
      </c>
      <c r="F478" s="144">
        <v>600</v>
      </c>
      <c r="G478" s="134">
        <f>G479</f>
        <v>4060000</v>
      </c>
      <c r="H478" s="134">
        <f t="shared" si="263"/>
        <v>0</v>
      </c>
      <c r="I478" s="29">
        <f t="shared" si="263"/>
        <v>0</v>
      </c>
      <c r="M478" s="258"/>
      <c r="N478" s="258"/>
      <c r="O478" s="162"/>
      <c r="AE478" s="54"/>
      <c r="AF478" s="54"/>
    </row>
    <row r="479" spans="1:32">
      <c r="A479" s="144">
        <v>463</v>
      </c>
      <c r="B479" s="143" t="s">
        <v>67</v>
      </c>
      <c r="C479" s="34" t="s">
        <v>165</v>
      </c>
      <c r="D479" s="34" t="s">
        <v>117</v>
      </c>
      <c r="E479" s="34" t="s">
        <v>513</v>
      </c>
      <c r="F479" s="144">
        <v>610</v>
      </c>
      <c r="G479" s="134">
        <f>160000+3900000</f>
        <v>4060000</v>
      </c>
      <c r="H479" s="134">
        <v>0</v>
      </c>
      <c r="I479" s="157">
        <v>0</v>
      </c>
      <c r="J479" s="246"/>
      <c r="M479" s="258"/>
      <c r="N479" s="258"/>
      <c r="O479" s="162"/>
      <c r="AE479" s="54"/>
      <c r="AF479" s="54"/>
    </row>
    <row r="480" spans="1:32" ht="75">
      <c r="A480" s="144">
        <v>464</v>
      </c>
      <c r="B480" s="323" t="s">
        <v>337</v>
      </c>
      <c r="C480" s="34">
        <v>951</v>
      </c>
      <c r="D480" s="34" t="s">
        <v>117</v>
      </c>
      <c r="E480" s="34" t="s">
        <v>245</v>
      </c>
      <c r="F480" s="144"/>
      <c r="G480" s="134">
        <f t="shared" ref="G480:I480" si="264">G481</f>
        <v>3998000</v>
      </c>
      <c r="H480" s="134">
        <f t="shared" si="264"/>
        <v>3998000</v>
      </c>
      <c r="I480" s="29">
        <f t="shared" si="264"/>
        <v>3998000</v>
      </c>
      <c r="M480" s="258"/>
      <c r="N480" s="258"/>
      <c r="O480" s="162"/>
      <c r="AE480" s="54"/>
      <c r="AF480" s="54"/>
    </row>
    <row r="481" spans="1:32" ht="30">
      <c r="A481" s="144">
        <v>465</v>
      </c>
      <c r="B481" s="143" t="s">
        <v>49</v>
      </c>
      <c r="C481" s="34">
        <v>951</v>
      </c>
      <c r="D481" s="34" t="s">
        <v>117</v>
      </c>
      <c r="E481" s="34" t="s">
        <v>245</v>
      </c>
      <c r="F481" s="144">
        <v>600</v>
      </c>
      <c r="G481" s="134">
        <f t="shared" ref="G481:I481" si="265">G482</f>
        <v>3998000</v>
      </c>
      <c r="H481" s="134">
        <f t="shared" si="265"/>
        <v>3998000</v>
      </c>
      <c r="I481" s="29">
        <f t="shared" si="265"/>
        <v>3998000</v>
      </c>
      <c r="M481" s="258"/>
      <c r="N481" s="258"/>
      <c r="O481" s="162"/>
      <c r="AE481" s="54"/>
      <c r="AF481" s="54"/>
    </row>
    <row r="482" spans="1:32">
      <c r="A482" s="144">
        <v>466</v>
      </c>
      <c r="B482" s="143" t="s">
        <v>67</v>
      </c>
      <c r="C482" s="34">
        <v>951</v>
      </c>
      <c r="D482" s="34" t="s">
        <v>117</v>
      </c>
      <c r="E482" s="34" t="s">
        <v>245</v>
      </c>
      <c r="F482" s="144">
        <v>610</v>
      </c>
      <c r="G482" s="134">
        <v>3998000</v>
      </c>
      <c r="H482" s="134">
        <v>3998000</v>
      </c>
      <c r="I482" s="157">
        <v>3998000</v>
      </c>
      <c r="M482" s="258"/>
      <c r="N482" s="258"/>
      <c r="O482" s="162"/>
      <c r="AE482" s="54"/>
      <c r="AF482" s="54"/>
    </row>
    <row r="483" spans="1:32" ht="109.5" customHeight="1">
      <c r="A483" s="144">
        <v>467</v>
      </c>
      <c r="B483" s="315" t="s">
        <v>338</v>
      </c>
      <c r="C483" s="34">
        <v>951</v>
      </c>
      <c r="D483" s="34" t="s">
        <v>117</v>
      </c>
      <c r="E483" s="34" t="s">
        <v>201</v>
      </c>
      <c r="F483" s="144"/>
      <c r="G483" s="134">
        <f t="shared" ref="G483:I484" si="266">G484</f>
        <v>40757500</v>
      </c>
      <c r="H483" s="134">
        <f t="shared" si="266"/>
        <v>42746900</v>
      </c>
      <c r="I483" s="29">
        <f t="shared" si="266"/>
        <v>42746900</v>
      </c>
      <c r="M483" s="258"/>
      <c r="N483" s="258"/>
      <c r="O483" s="162"/>
      <c r="AE483" s="54"/>
      <c r="AF483" s="54"/>
    </row>
    <row r="484" spans="1:32" ht="30">
      <c r="A484" s="144">
        <v>468</v>
      </c>
      <c r="B484" s="143" t="s">
        <v>49</v>
      </c>
      <c r="C484" s="34">
        <v>951</v>
      </c>
      <c r="D484" s="34" t="s">
        <v>117</v>
      </c>
      <c r="E484" s="34" t="s">
        <v>201</v>
      </c>
      <c r="F484" s="144">
        <v>600</v>
      </c>
      <c r="G484" s="134">
        <f t="shared" si="266"/>
        <v>40757500</v>
      </c>
      <c r="H484" s="134">
        <f t="shared" si="266"/>
        <v>42746900</v>
      </c>
      <c r="I484" s="29">
        <f t="shared" si="266"/>
        <v>42746900</v>
      </c>
      <c r="M484" s="258"/>
      <c r="N484" s="258"/>
      <c r="O484" s="162"/>
      <c r="AE484" s="54"/>
      <c r="AF484" s="54"/>
    </row>
    <row r="485" spans="1:32">
      <c r="A485" s="144">
        <v>469</v>
      </c>
      <c r="B485" s="143" t="s">
        <v>67</v>
      </c>
      <c r="C485" s="34">
        <v>951</v>
      </c>
      <c r="D485" s="34" t="s">
        <v>117</v>
      </c>
      <c r="E485" s="34" t="s">
        <v>201</v>
      </c>
      <c r="F485" s="144">
        <v>610</v>
      </c>
      <c r="G485" s="134">
        <f>42746900-1989400</f>
        <v>40757500</v>
      </c>
      <c r="H485" s="134">
        <v>42746900</v>
      </c>
      <c r="I485" s="157">
        <v>42746900</v>
      </c>
      <c r="J485" s="246"/>
      <c r="M485" s="258"/>
      <c r="N485" s="258"/>
      <c r="O485" s="162"/>
      <c r="AE485" s="54"/>
      <c r="AF485" s="54"/>
    </row>
    <row r="486" spans="1:32" ht="60">
      <c r="A486" s="144">
        <v>470</v>
      </c>
      <c r="B486" s="307" t="s">
        <v>481</v>
      </c>
      <c r="C486" s="34" t="s">
        <v>165</v>
      </c>
      <c r="D486" s="34" t="s">
        <v>117</v>
      </c>
      <c r="E486" s="34" t="s">
        <v>482</v>
      </c>
      <c r="F486" s="144"/>
      <c r="G486" s="134">
        <f>G487</f>
        <v>0</v>
      </c>
      <c r="H486" s="134">
        <f t="shared" ref="H486:I487" si="267">H487</f>
        <v>0</v>
      </c>
      <c r="I486" s="29">
        <f t="shared" si="267"/>
        <v>0</v>
      </c>
      <c r="M486" s="258"/>
      <c r="N486" s="258"/>
      <c r="O486" s="162"/>
      <c r="AE486" s="54"/>
      <c r="AF486" s="54"/>
    </row>
    <row r="487" spans="1:32" ht="30">
      <c r="A487" s="144">
        <v>471</v>
      </c>
      <c r="B487" s="143" t="s">
        <v>49</v>
      </c>
      <c r="C487" s="34" t="s">
        <v>165</v>
      </c>
      <c r="D487" s="34" t="s">
        <v>117</v>
      </c>
      <c r="E487" s="34" t="s">
        <v>482</v>
      </c>
      <c r="F487" s="144">
        <v>600</v>
      </c>
      <c r="G487" s="134">
        <f>G488</f>
        <v>0</v>
      </c>
      <c r="H487" s="134">
        <f t="shared" si="267"/>
        <v>0</v>
      </c>
      <c r="I487" s="29">
        <f t="shared" si="267"/>
        <v>0</v>
      </c>
      <c r="M487" s="258"/>
      <c r="N487" s="258"/>
      <c r="O487" s="162"/>
      <c r="AE487" s="54"/>
      <c r="AF487" s="54"/>
    </row>
    <row r="488" spans="1:32">
      <c r="A488" s="144">
        <v>472</v>
      </c>
      <c r="B488" s="143" t="s">
        <v>67</v>
      </c>
      <c r="C488" s="34" t="s">
        <v>165</v>
      </c>
      <c r="D488" s="34" t="s">
        <v>117</v>
      </c>
      <c r="E488" s="34" t="s">
        <v>482</v>
      </c>
      <c r="F488" s="144">
        <v>610</v>
      </c>
      <c r="G488" s="134">
        <f>89238-89238</f>
        <v>0</v>
      </c>
      <c r="H488" s="134">
        <v>0</v>
      </c>
      <c r="I488" s="157">
        <v>0</v>
      </c>
      <c r="J488" s="276"/>
      <c r="M488" s="258"/>
      <c r="N488" s="258"/>
      <c r="O488" s="162"/>
      <c r="AE488" s="54"/>
      <c r="AF488" s="54"/>
    </row>
    <row r="489" spans="1:32" ht="60">
      <c r="A489" s="144">
        <v>473</v>
      </c>
      <c r="B489" s="307" t="s">
        <v>479</v>
      </c>
      <c r="C489" s="34" t="s">
        <v>165</v>
      </c>
      <c r="D489" s="34" t="s">
        <v>117</v>
      </c>
      <c r="E489" s="34" t="s">
        <v>480</v>
      </c>
      <c r="F489" s="144"/>
      <c r="G489" s="134">
        <f>G490</f>
        <v>35721656.18</v>
      </c>
      <c r="H489" s="134">
        <f t="shared" ref="H489:I490" si="268">H490</f>
        <v>0</v>
      </c>
      <c r="I489" s="29">
        <f t="shared" si="268"/>
        <v>0</v>
      </c>
      <c r="M489" s="258"/>
      <c r="N489" s="258"/>
      <c r="O489" s="162"/>
      <c r="AE489" s="54"/>
      <c r="AF489" s="54"/>
    </row>
    <row r="490" spans="1:32" ht="30">
      <c r="A490" s="144">
        <v>474</v>
      </c>
      <c r="B490" s="143" t="s">
        <v>49</v>
      </c>
      <c r="C490" s="34" t="s">
        <v>165</v>
      </c>
      <c r="D490" s="34" t="s">
        <v>117</v>
      </c>
      <c r="E490" s="34" t="s">
        <v>480</v>
      </c>
      <c r="F490" s="144">
        <v>600</v>
      </c>
      <c r="G490" s="134">
        <f>G491</f>
        <v>35721656.18</v>
      </c>
      <c r="H490" s="134">
        <f t="shared" si="268"/>
        <v>0</v>
      </c>
      <c r="I490" s="29">
        <f t="shared" si="268"/>
        <v>0</v>
      </c>
      <c r="M490" s="258"/>
      <c r="N490" s="258"/>
      <c r="O490" s="162"/>
      <c r="AE490" s="54"/>
      <c r="AF490" s="54"/>
    </row>
    <row r="491" spans="1:32">
      <c r="A491" s="144">
        <v>475</v>
      </c>
      <c r="B491" s="143" t="s">
        <v>67</v>
      </c>
      <c r="C491" s="34" t="s">
        <v>165</v>
      </c>
      <c r="D491" s="34" t="s">
        <v>117</v>
      </c>
      <c r="E491" s="34" t="s">
        <v>480</v>
      </c>
      <c r="F491" s="144">
        <v>610</v>
      </c>
      <c r="G491" s="134">
        <f>310972.66+4624834+30785850-0.48</f>
        <v>35721656.18</v>
      </c>
      <c r="H491" s="134">
        <v>0</v>
      </c>
      <c r="I491" s="157">
        <v>0</v>
      </c>
      <c r="J491" s="263"/>
      <c r="M491" s="258"/>
      <c r="N491" s="258"/>
      <c r="O491" s="162"/>
      <c r="AE491" s="54"/>
      <c r="AF491" s="54"/>
    </row>
    <row r="492" spans="1:32" s="54" customFormat="1" ht="60">
      <c r="A492" s="144">
        <v>476</v>
      </c>
      <c r="B492" s="307" t="s">
        <v>362</v>
      </c>
      <c r="C492" s="34" t="s">
        <v>165</v>
      </c>
      <c r="D492" s="34" t="s">
        <v>117</v>
      </c>
      <c r="E492" s="34" t="s">
        <v>363</v>
      </c>
      <c r="F492" s="144"/>
      <c r="G492" s="134">
        <f t="shared" ref="G492:I493" si="269">G493</f>
        <v>2201710</v>
      </c>
      <c r="H492" s="134">
        <f t="shared" si="269"/>
        <v>1843710</v>
      </c>
      <c r="I492" s="29">
        <f t="shared" si="269"/>
        <v>1843710</v>
      </c>
      <c r="M492" s="258"/>
      <c r="N492" s="258"/>
      <c r="O492" s="162"/>
    </row>
    <row r="493" spans="1:32" s="54" customFormat="1" ht="30">
      <c r="A493" s="144">
        <v>477</v>
      </c>
      <c r="B493" s="143" t="s">
        <v>49</v>
      </c>
      <c r="C493" s="34" t="s">
        <v>165</v>
      </c>
      <c r="D493" s="34" t="s">
        <v>117</v>
      </c>
      <c r="E493" s="34" t="s">
        <v>363</v>
      </c>
      <c r="F493" s="144">
        <v>600</v>
      </c>
      <c r="G493" s="134">
        <f t="shared" si="269"/>
        <v>2201710</v>
      </c>
      <c r="H493" s="134">
        <f t="shared" si="269"/>
        <v>1843710</v>
      </c>
      <c r="I493" s="29">
        <f t="shared" si="269"/>
        <v>1843710</v>
      </c>
      <c r="M493" s="258"/>
      <c r="N493" s="258"/>
      <c r="O493" s="162"/>
    </row>
    <row r="494" spans="1:32" s="54" customFormat="1">
      <c r="A494" s="144">
        <v>478</v>
      </c>
      <c r="B494" s="143" t="s">
        <v>67</v>
      </c>
      <c r="C494" s="34" t="s">
        <v>165</v>
      </c>
      <c r="D494" s="34" t="s">
        <v>117</v>
      </c>
      <c r="E494" s="34" t="s">
        <v>363</v>
      </c>
      <c r="F494" s="144">
        <v>610</v>
      </c>
      <c r="G494" s="134">
        <f>1790000+411710</f>
        <v>2201710</v>
      </c>
      <c r="H494" s="134">
        <f>1432000+411710</f>
        <v>1843710</v>
      </c>
      <c r="I494" s="157">
        <f>1432000+411710</f>
        <v>1843710</v>
      </c>
      <c r="M494" s="258"/>
      <c r="N494" s="258"/>
      <c r="O494" s="162"/>
    </row>
    <row r="495" spans="1:32" ht="105">
      <c r="A495" s="144">
        <v>479</v>
      </c>
      <c r="B495" s="322" t="s">
        <v>339</v>
      </c>
      <c r="C495" s="34">
        <v>951</v>
      </c>
      <c r="D495" s="34" t="s">
        <v>117</v>
      </c>
      <c r="E495" s="34" t="s">
        <v>202</v>
      </c>
      <c r="F495" s="144"/>
      <c r="G495" s="134">
        <f t="shared" ref="G495:I496" si="270">G496</f>
        <v>163337000</v>
      </c>
      <c r="H495" s="134">
        <f t="shared" si="270"/>
        <v>164190636.78</v>
      </c>
      <c r="I495" s="29">
        <f t="shared" si="270"/>
        <v>164190636.78</v>
      </c>
      <c r="M495" s="258"/>
      <c r="N495" s="258"/>
      <c r="O495" s="162"/>
      <c r="AE495" s="54"/>
      <c r="AF495" s="54"/>
    </row>
    <row r="496" spans="1:32" ht="30">
      <c r="A496" s="144">
        <v>480</v>
      </c>
      <c r="B496" s="143" t="s">
        <v>49</v>
      </c>
      <c r="C496" s="34">
        <v>951</v>
      </c>
      <c r="D496" s="34" t="s">
        <v>117</v>
      </c>
      <c r="E496" s="34" t="s">
        <v>202</v>
      </c>
      <c r="F496" s="144">
        <v>600</v>
      </c>
      <c r="G496" s="134">
        <f t="shared" si="270"/>
        <v>163337000</v>
      </c>
      <c r="H496" s="134">
        <f t="shared" si="270"/>
        <v>164190636.78</v>
      </c>
      <c r="I496" s="29">
        <f t="shared" si="270"/>
        <v>164190636.78</v>
      </c>
      <c r="M496" s="258"/>
      <c r="N496" s="258"/>
      <c r="O496" s="162"/>
      <c r="AE496" s="54"/>
      <c r="AF496" s="54"/>
    </row>
    <row r="497" spans="1:32">
      <c r="A497" s="144">
        <v>481</v>
      </c>
      <c r="B497" s="143" t="s">
        <v>67</v>
      </c>
      <c r="C497" s="34">
        <v>951</v>
      </c>
      <c r="D497" s="34" t="s">
        <v>117</v>
      </c>
      <c r="E497" s="34" t="s">
        <v>202</v>
      </c>
      <c r="F497" s="144">
        <v>610</v>
      </c>
      <c r="G497" s="134">
        <f>167311436.78-3974436.78</f>
        <v>163337000</v>
      </c>
      <c r="H497" s="134">
        <v>164190636.78</v>
      </c>
      <c r="I497" s="157">
        <v>164190636.78</v>
      </c>
      <c r="J497" s="246"/>
      <c r="M497" s="257"/>
      <c r="N497" s="257"/>
      <c r="O497" s="162"/>
      <c r="AE497" s="54"/>
      <c r="AF497" s="54"/>
    </row>
    <row r="498" spans="1:32" ht="93.75" customHeight="1">
      <c r="A498" s="144">
        <v>482</v>
      </c>
      <c r="B498" s="307" t="s">
        <v>581</v>
      </c>
      <c r="C498" s="34" t="s">
        <v>165</v>
      </c>
      <c r="D498" s="34" t="s">
        <v>117</v>
      </c>
      <c r="E498" s="34" t="s">
        <v>506</v>
      </c>
      <c r="F498" s="144"/>
      <c r="G498" s="134">
        <f>G499</f>
        <v>4435152.4800000004</v>
      </c>
      <c r="H498" s="134">
        <f t="shared" ref="H498:I498" si="271">H499</f>
        <v>0</v>
      </c>
      <c r="I498" s="29">
        <f t="shared" si="271"/>
        <v>0</v>
      </c>
      <c r="M498" s="258"/>
      <c r="N498" s="258"/>
      <c r="O498" s="162"/>
      <c r="AE498" s="54"/>
      <c r="AF498" s="54"/>
    </row>
    <row r="499" spans="1:32" ht="30">
      <c r="A499" s="144">
        <v>483</v>
      </c>
      <c r="B499" s="143" t="s">
        <v>49</v>
      </c>
      <c r="C499" s="34" t="s">
        <v>165</v>
      </c>
      <c r="D499" s="34" t="s">
        <v>117</v>
      </c>
      <c r="E499" s="34" t="s">
        <v>506</v>
      </c>
      <c r="F499" s="144">
        <v>600</v>
      </c>
      <c r="G499" s="134">
        <f>G500</f>
        <v>4435152.4800000004</v>
      </c>
      <c r="H499" s="134">
        <f t="shared" ref="H499:I499" si="272">H500</f>
        <v>0</v>
      </c>
      <c r="I499" s="29">
        <f t="shared" si="272"/>
        <v>0</v>
      </c>
      <c r="M499" s="257"/>
      <c r="N499" s="257"/>
      <c r="O499" s="162"/>
      <c r="AE499" s="54"/>
      <c r="AF499" s="54"/>
    </row>
    <row r="500" spans="1:32">
      <c r="A500" s="144">
        <v>484</v>
      </c>
      <c r="B500" s="143" t="s">
        <v>67</v>
      </c>
      <c r="C500" s="34" t="s">
        <v>165</v>
      </c>
      <c r="D500" s="34" t="s">
        <v>117</v>
      </c>
      <c r="E500" s="34" t="s">
        <v>506</v>
      </c>
      <c r="F500" s="144">
        <v>610</v>
      </c>
      <c r="G500" s="134">
        <f>4326400+42000+64400+2352+0.48</f>
        <v>4435152.4800000004</v>
      </c>
      <c r="H500" s="134">
        <v>0</v>
      </c>
      <c r="I500" s="157">
        <v>0</v>
      </c>
      <c r="J500" s="263"/>
      <c r="M500" s="257"/>
      <c r="N500" s="257"/>
      <c r="O500" s="162"/>
      <c r="AE500" s="54"/>
      <c r="AF500" s="54"/>
    </row>
    <row r="501" spans="1:32" ht="42.75" customHeight="1">
      <c r="A501" s="144">
        <v>485</v>
      </c>
      <c r="B501" s="143" t="s">
        <v>566</v>
      </c>
      <c r="C501" s="34" t="s">
        <v>165</v>
      </c>
      <c r="D501" s="34" t="s">
        <v>117</v>
      </c>
      <c r="E501" s="34" t="s">
        <v>565</v>
      </c>
      <c r="F501" s="144"/>
      <c r="G501" s="134">
        <f>G502</f>
        <v>2577430</v>
      </c>
      <c r="H501" s="134">
        <f t="shared" ref="H501:I502" si="273">H502</f>
        <v>2577430</v>
      </c>
      <c r="I501" s="29">
        <f t="shared" si="273"/>
        <v>3115630</v>
      </c>
      <c r="J501" s="256"/>
      <c r="M501" s="257"/>
      <c r="N501" s="257"/>
      <c r="O501" s="162"/>
      <c r="AE501" s="54"/>
      <c r="AF501" s="54"/>
    </row>
    <row r="502" spans="1:32" ht="30">
      <c r="A502" s="144">
        <v>486</v>
      </c>
      <c r="B502" s="143" t="s">
        <v>551</v>
      </c>
      <c r="C502" s="34" t="s">
        <v>165</v>
      </c>
      <c r="D502" s="34" t="s">
        <v>117</v>
      </c>
      <c r="E502" s="34" t="s">
        <v>565</v>
      </c>
      <c r="F502" s="144">
        <v>600</v>
      </c>
      <c r="G502" s="134">
        <f>G503</f>
        <v>2577430</v>
      </c>
      <c r="H502" s="134">
        <f t="shared" si="273"/>
        <v>2577430</v>
      </c>
      <c r="I502" s="29">
        <f t="shared" si="273"/>
        <v>3115630</v>
      </c>
      <c r="J502" s="256"/>
      <c r="M502" s="257"/>
      <c r="N502" s="257"/>
      <c r="O502" s="162"/>
      <c r="AE502" s="54"/>
      <c r="AF502" s="54"/>
    </row>
    <row r="503" spans="1:32">
      <c r="A503" s="144">
        <v>487</v>
      </c>
      <c r="B503" s="143" t="s">
        <v>559</v>
      </c>
      <c r="C503" s="34" t="s">
        <v>165</v>
      </c>
      <c r="D503" s="34" t="s">
        <v>117</v>
      </c>
      <c r="E503" s="34" t="s">
        <v>565</v>
      </c>
      <c r="F503" s="144">
        <v>610</v>
      </c>
      <c r="G503" s="134">
        <v>2577430</v>
      </c>
      <c r="H503" s="134">
        <v>2577430</v>
      </c>
      <c r="I503" s="157">
        <v>3115630</v>
      </c>
      <c r="J503" s="246"/>
      <c r="K503" s="246"/>
      <c r="L503" s="246"/>
      <c r="M503" s="257"/>
      <c r="N503" s="257"/>
      <c r="O503" s="162"/>
      <c r="AE503" s="54"/>
      <c r="AF503" s="54"/>
    </row>
    <row r="504" spans="1:32" ht="50.25" customHeight="1">
      <c r="A504" s="144">
        <v>488</v>
      </c>
      <c r="B504" s="143" t="s">
        <v>584</v>
      </c>
      <c r="C504" s="34" t="s">
        <v>165</v>
      </c>
      <c r="D504" s="34" t="s">
        <v>117</v>
      </c>
      <c r="E504" s="34" t="s">
        <v>575</v>
      </c>
      <c r="F504" s="144"/>
      <c r="G504" s="134">
        <f>G505</f>
        <v>3860720</v>
      </c>
      <c r="H504" s="134">
        <f t="shared" ref="H504:I505" si="274">H505</f>
        <v>0</v>
      </c>
      <c r="I504" s="29">
        <f t="shared" si="274"/>
        <v>0</v>
      </c>
      <c r="J504" s="256"/>
      <c r="K504" s="256"/>
      <c r="L504" s="256"/>
      <c r="M504" s="257"/>
      <c r="N504" s="257"/>
      <c r="O504" s="162"/>
      <c r="AE504" s="54"/>
      <c r="AF504" s="54"/>
    </row>
    <row r="505" spans="1:32" ht="30">
      <c r="A505" s="144">
        <v>489</v>
      </c>
      <c r="B505" s="143" t="s">
        <v>572</v>
      </c>
      <c r="C505" s="34" t="s">
        <v>165</v>
      </c>
      <c r="D505" s="34" t="s">
        <v>117</v>
      </c>
      <c r="E505" s="34" t="s">
        <v>575</v>
      </c>
      <c r="F505" s="144">
        <v>600</v>
      </c>
      <c r="G505" s="134">
        <f>G506</f>
        <v>3860720</v>
      </c>
      <c r="H505" s="134">
        <f t="shared" si="274"/>
        <v>0</v>
      </c>
      <c r="I505" s="29">
        <f t="shared" si="274"/>
        <v>0</v>
      </c>
      <c r="J505" s="256"/>
      <c r="K505" s="256"/>
      <c r="L505" s="256"/>
      <c r="M505" s="257"/>
      <c r="N505" s="257"/>
      <c r="O505" s="162"/>
      <c r="AE505" s="54"/>
      <c r="AF505" s="54"/>
    </row>
    <row r="506" spans="1:32">
      <c r="A506" s="144">
        <v>490</v>
      </c>
      <c r="B506" s="143" t="s">
        <v>573</v>
      </c>
      <c r="C506" s="34" t="s">
        <v>165</v>
      </c>
      <c r="D506" s="34" t="s">
        <v>117</v>
      </c>
      <c r="E506" s="34" t="s">
        <v>575</v>
      </c>
      <c r="F506" s="144">
        <v>610</v>
      </c>
      <c r="G506" s="134">
        <v>3860720</v>
      </c>
      <c r="H506" s="134">
        <v>0</v>
      </c>
      <c r="I506" s="157">
        <v>0</v>
      </c>
      <c r="J506" s="276"/>
      <c r="K506" s="256"/>
      <c r="L506" s="256"/>
      <c r="M506" s="257"/>
      <c r="N506" s="257"/>
      <c r="O506" s="162"/>
      <c r="AE506" s="54"/>
      <c r="AF506" s="54"/>
    </row>
    <row r="507" spans="1:32" ht="48.75" customHeight="1">
      <c r="A507" s="144">
        <v>491</v>
      </c>
      <c r="B507" s="143" t="s">
        <v>583</v>
      </c>
      <c r="C507" s="34" t="s">
        <v>165</v>
      </c>
      <c r="D507" s="34" t="s">
        <v>117</v>
      </c>
      <c r="E507" s="34" t="s">
        <v>571</v>
      </c>
      <c r="F507" s="144"/>
      <c r="G507" s="134">
        <f>G508</f>
        <v>800000</v>
      </c>
      <c r="H507" s="134">
        <f t="shared" ref="H507:I508" si="275">H508</f>
        <v>0</v>
      </c>
      <c r="I507" s="29">
        <f t="shared" si="275"/>
        <v>0</v>
      </c>
      <c r="J507" s="256"/>
      <c r="K507" s="256"/>
      <c r="L507" s="256"/>
      <c r="M507" s="257"/>
      <c r="N507" s="257"/>
      <c r="O507" s="162"/>
      <c r="AE507" s="54"/>
      <c r="AF507" s="54"/>
    </row>
    <row r="508" spans="1:32" ht="30">
      <c r="A508" s="144">
        <v>492</v>
      </c>
      <c r="B508" s="143" t="s">
        <v>49</v>
      </c>
      <c r="C508" s="34" t="s">
        <v>165</v>
      </c>
      <c r="D508" s="34" t="s">
        <v>117</v>
      </c>
      <c r="E508" s="34" t="s">
        <v>571</v>
      </c>
      <c r="F508" s="144">
        <v>600</v>
      </c>
      <c r="G508" s="134">
        <f>G509</f>
        <v>800000</v>
      </c>
      <c r="H508" s="134">
        <f t="shared" si="275"/>
        <v>0</v>
      </c>
      <c r="I508" s="29">
        <f t="shared" si="275"/>
        <v>0</v>
      </c>
      <c r="J508" s="256"/>
      <c r="K508" s="256"/>
      <c r="L508" s="256"/>
      <c r="M508" s="257"/>
      <c r="N508" s="257"/>
      <c r="O508" s="162"/>
      <c r="AE508" s="54"/>
      <c r="AF508" s="54"/>
    </row>
    <row r="509" spans="1:32">
      <c r="A509" s="144">
        <v>493</v>
      </c>
      <c r="B509" s="143" t="s">
        <v>573</v>
      </c>
      <c r="C509" s="34" t="s">
        <v>165</v>
      </c>
      <c r="D509" s="34" t="s">
        <v>117</v>
      </c>
      <c r="E509" s="34" t="s">
        <v>571</v>
      </c>
      <c r="F509" s="144">
        <v>610</v>
      </c>
      <c r="G509" s="134">
        <v>800000</v>
      </c>
      <c r="H509" s="134">
        <v>0</v>
      </c>
      <c r="I509" s="157">
        <v>0</v>
      </c>
      <c r="J509" s="276"/>
      <c r="K509" s="256"/>
      <c r="L509" s="256"/>
      <c r="M509" s="257"/>
      <c r="N509" s="257"/>
      <c r="O509" s="162"/>
      <c r="AE509" s="54"/>
      <c r="AF509" s="54"/>
    </row>
    <row r="510" spans="1:32" ht="62.25" customHeight="1">
      <c r="A510" s="144">
        <v>494</v>
      </c>
      <c r="B510" s="143" t="s">
        <v>577</v>
      </c>
      <c r="C510" s="34" t="s">
        <v>165</v>
      </c>
      <c r="D510" s="34" t="s">
        <v>117</v>
      </c>
      <c r="E510" s="34" t="s">
        <v>576</v>
      </c>
      <c r="F510" s="144"/>
      <c r="G510" s="134">
        <f>G511</f>
        <v>400000</v>
      </c>
      <c r="H510" s="134">
        <f t="shared" ref="H510:I511" si="276">H511</f>
        <v>0</v>
      </c>
      <c r="I510" s="29">
        <f t="shared" si="276"/>
        <v>0</v>
      </c>
      <c r="J510" s="256"/>
      <c r="K510" s="256"/>
      <c r="L510" s="256"/>
      <c r="M510" s="257"/>
      <c r="N510" s="257"/>
      <c r="O510" s="162"/>
      <c r="AE510" s="54"/>
      <c r="AF510" s="54"/>
    </row>
    <row r="511" spans="1:32" ht="36.75" customHeight="1">
      <c r="A511" s="144">
        <v>495</v>
      </c>
      <c r="B511" s="143" t="s">
        <v>578</v>
      </c>
      <c r="C511" s="34" t="s">
        <v>165</v>
      </c>
      <c r="D511" s="34" t="s">
        <v>117</v>
      </c>
      <c r="E511" s="34" t="s">
        <v>576</v>
      </c>
      <c r="F511" s="144">
        <v>600</v>
      </c>
      <c r="G511" s="134">
        <f>G512</f>
        <v>400000</v>
      </c>
      <c r="H511" s="134">
        <f t="shared" si="276"/>
        <v>0</v>
      </c>
      <c r="I511" s="29">
        <f t="shared" si="276"/>
        <v>0</v>
      </c>
      <c r="J511" s="256"/>
      <c r="K511" s="256"/>
      <c r="L511" s="256"/>
      <c r="M511" s="257"/>
      <c r="N511" s="257"/>
      <c r="O511" s="162"/>
      <c r="AE511" s="54"/>
      <c r="AF511" s="54"/>
    </row>
    <row r="512" spans="1:32">
      <c r="A512" s="144">
        <v>496</v>
      </c>
      <c r="B512" s="143" t="s">
        <v>67</v>
      </c>
      <c r="C512" s="34" t="s">
        <v>165</v>
      </c>
      <c r="D512" s="34" t="s">
        <v>117</v>
      </c>
      <c r="E512" s="34" t="s">
        <v>576</v>
      </c>
      <c r="F512" s="144">
        <v>610</v>
      </c>
      <c r="G512" s="134">
        <v>400000</v>
      </c>
      <c r="H512" s="134">
        <v>0</v>
      </c>
      <c r="I512" s="157">
        <v>0</v>
      </c>
      <c r="J512" s="276"/>
      <c r="K512" s="256"/>
      <c r="L512" s="256"/>
      <c r="M512" s="257"/>
      <c r="N512" s="257"/>
      <c r="O512" s="162"/>
      <c r="AE512" s="54"/>
      <c r="AF512" s="54"/>
    </row>
    <row r="513" spans="1:32" ht="45">
      <c r="A513" s="144">
        <v>497</v>
      </c>
      <c r="B513" s="307" t="s">
        <v>457</v>
      </c>
      <c r="C513" s="34" t="s">
        <v>165</v>
      </c>
      <c r="D513" s="34" t="s">
        <v>117</v>
      </c>
      <c r="E513" s="34" t="s">
        <v>458</v>
      </c>
      <c r="F513" s="144"/>
      <c r="G513" s="134">
        <f t="shared" ref="G513:I514" si="277">G514</f>
        <v>480000</v>
      </c>
      <c r="H513" s="134">
        <f t="shared" si="277"/>
        <v>480000</v>
      </c>
      <c r="I513" s="29">
        <f t="shared" si="277"/>
        <v>480000</v>
      </c>
      <c r="M513" s="258"/>
      <c r="N513" s="258"/>
      <c r="O513" s="162"/>
      <c r="AE513" s="54"/>
      <c r="AF513" s="54"/>
    </row>
    <row r="514" spans="1:32" ht="30">
      <c r="A514" s="144">
        <v>498</v>
      </c>
      <c r="B514" s="143" t="s">
        <v>49</v>
      </c>
      <c r="C514" s="34" t="s">
        <v>165</v>
      </c>
      <c r="D514" s="34" t="s">
        <v>117</v>
      </c>
      <c r="E514" s="34" t="s">
        <v>458</v>
      </c>
      <c r="F514" s="144">
        <v>600</v>
      </c>
      <c r="G514" s="134">
        <f t="shared" si="277"/>
        <v>480000</v>
      </c>
      <c r="H514" s="134">
        <f t="shared" si="277"/>
        <v>480000</v>
      </c>
      <c r="I514" s="29">
        <f t="shared" si="277"/>
        <v>480000</v>
      </c>
      <c r="M514" s="258"/>
      <c r="N514" s="258"/>
      <c r="O514" s="162"/>
      <c r="AE514" s="54"/>
      <c r="AF514" s="54"/>
    </row>
    <row r="515" spans="1:32">
      <c r="A515" s="144">
        <v>499</v>
      </c>
      <c r="B515" s="143" t="s">
        <v>67</v>
      </c>
      <c r="C515" s="34" t="s">
        <v>165</v>
      </c>
      <c r="D515" s="34" t="s">
        <v>117</v>
      </c>
      <c r="E515" s="34" t="s">
        <v>458</v>
      </c>
      <c r="F515" s="144">
        <v>610</v>
      </c>
      <c r="G515" s="134">
        <v>480000</v>
      </c>
      <c r="H515" s="134">
        <v>480000</v>
      </c>
      <c r="I515" s="157">
        <v>480000</v>
      </c>
      <c r="M515" s="258"/>
      <c r="N515" s="258"/>
      <c r="O515" s="162"/>
      <c r="AE515" s="54"/>
      <c r="AF515" s="54"/>
    </row>
    <row r="516" spans="1:32">
      <c r="A516" s="144">
        <v>500</v>
      </c>
      <c r="B516" s="143" t="s">
        <v>275</v>
      </c>
      <c r="C516" s="34" t="s">
        <v>165</v>
      </c>
      <c r="D516" s="34" t="s">
        <v>117</v>
      </c>
      <c r="E516" s="34" t="s">
        <v>272</v>
      </c>
      <c r="F516" s="144"/>
      <c r="G516" s="134">
        <f>G517</f>
        <v>93975</v>
      </c>
      <c r="H516" s="134">
        <f>H517</f>
        <v>0</v>
      </c>
      <c r="I516" s="134">
        <f>I517</f>
        <v>0</v>
      </c>
      <c r="M516" s="258"/>
      <c r="N516" s="258"/>
      <c r="O516" s="162"/>
      <c r="AE516" s="54"/>
      <c r="AF516" s="54"/>
    </row>
    <row r="517" spans="1:32">
      <c r="A517" s="144">
        <v>501</v>
      </c>
      <c r="B517" s="143" t="s">
        <v>555</v>
      </c>
      <c r="C517" s="34" t="s">
        <v>165</v>
      </c>
      <c r="D517" s="34" t="s">
        <v>117</v>
      </c>
      <c r="E517" s="34" t="s">
        <v>556</v>
      </c>
      <c r="F517" s="144"/>
      <c r="G517" s="134">
        <f>G518</f>
        <v>93975</v>
      </c>
      <c r="H517" s="134">
        <f t="shared" ref="H517:I519" si="278">H518</f>
        <v>0</v>
      </c>
      <c r="I517" s="134">
        <f t="shared" si="278"/>
        <v>0</v>
      </c>
      <c r="M517" s="258"/>
      <c r="N517" s="258"/>
      <c r="O517" s="162"/>
      <c r="AE517" s="54"/>
      <c r="AF517" s="54"/>
    </row>
    <row r="518" spans="1:32" ht="60">
      <c r="A518" s="144">
        <v>502</v>
      </c>
      <c r="B518" s="143" t="s">
        <v>557</v>
      </c>
      <c r="C518" s="34" t="s">
        <v>165</v>
      </c>
      <c r="D518" s="34" t="s">
        <v>117</v>
      </c>
      <c r="E518" s="34" t="s">
        <v>558</v>
      </c>
      <c r="F518" s="144"/>
      <c r="G518" s="134">
        <f>G519</f>
        <v>93975</v>
      </c>
      <c r="H518" s="134">
        <f t="shared" si="278"/>
        <v>0</v>
      </c>
      <c r="I518" s="134">
        <f t="shared" si="278"/>
        <v>0</v>
      </c>
      <c r="M518" s="258"/>
      <c r="N518" s="258"/>
      <c r="O518" s="162"/>
      <c r="AE518" s="54"/>
      <c r="AF518" s="54"/>
    </row>
    <row r="519" spans="1:32" ht="30">
      <c r="A519" s="144">
        <v>503</v>
      </c>
      <c r="B519" s="143" t="s">
        <v>49</v>
      </c>
      <c r="C519" s="34" t="s">
        <v>165</v>
      </c>
      <c r="D519" s="34" t="s">
        <v>117</v>
      </c>
      <c r="E519" s="34" t="s">
        <v>558</v>
      </c>
      <c r="F519" s="144">
        <v>600</v>
      </c>
      <c r="G519" s="134">
        <f>G520</f>
        <v>93975</v>
      </c>
      <c r="H519" s="134">
        <f t="shared" si="278"/>
        <v>0</v>
      </c>
      <c r="I519" s="134">
        <f t="shared" si="278"/>
        <v>0</v>
      </c>
      <c r="M519" s="258"/>
      <c r="N519" s="258"/>
      <c r="O519" s="162"/>
      <c r="AE519" s="54"/>
      <c r="AF519" s="54"/>
    </row>
    <row r="520" spans="1:32">
      <c r="A520" s="144">
        <v>504</v>
      </c>
      <c r="B520" s="143" t="s">
        <v>559</v>
      </c>
      <c r="C520" s="34" t="s">
        <v>165</v>
      </c>
      <c r="D520" s="34" t="s">
        <v>117</v>
      </c>
      <c r="E520" s="34" t="s">
        <v>558</v>
      </c>
      <c r="F520" s="144">
        <v>610</v>
      </c>
      <c r="G520" s="134">
        <v>93975</v>
      </c>
      <c r="H520" s="134">
        <v>0</v>
      </c>
      <c r="I520" s="134">
        <v>0</v>
      </c>
      <c r="J520" s="246"/>
      <c r="M520" s="258"/>
      <c r="N520" s="258"/>
      <c r="O520" s="162"/>
      <c r="AE520" s="54"/>
      <c r="AF520" s="54"/>
    </row>
    <row r="521" spans="1:32">
      <c r="A521" s="144">
        <v>505</v>
      </c>
      <c r="B521" s="307" t="s">
        <v>161</v>
      </c>
      <c r="C521" s="34">
        <v>951</v>
      </c>
      <c r="D521" s="34" t="s">
        <v>167</v>
      </c>
      <c r="E521" s="34"/>
      <c r="F521" s="144"/>
      <c r="G521" s="134">
        <f t="shared" ref="G521:I521" si="279">G522</f>
        <v>40485765.799999997</v>
      </c>
      <c r="H521" s="134">
        <f t="shared" si="279"/>
        <v>36339704.020000003</v>
      </c>
      <c r="I521" s="29">
        <f t="shared" si="279"/>
        <v>36339704.020000003</v>
      </c>
      <c r="M521" s="258"/>
      <c r="N521" s="258"/>
      <c r="O521" s="162"/>
      <c r="AE521" s="54"/>
      <c r="AF521" s="54"/>
    </row>
    <row r="522" spans="1:32" ht="30">
      <c r="A522" s="144">
        <v>506</v>
      </c>
      <c r="B522" s="306" t="s">
        <v>54</v>
      </c>
      <c r="C522" s="34" t="s">
        <v>165</v>
      </c>
      <c r="D522" s="34" t="s">
        <v>167</v>
      </c>
      <c r="E522" s="34" t="s">
        <v>184</v>
      </c>
      <c r="F522" s="144"/>
      <c r="G522" s="134">
        <f t="shared" ref="G522:H522" si="280">G523+G527</f>
        <v>40485765.799999997</v>
      </c>
      <c r="H522" s="134">
        <f t="shared" si="280"/>
        <v>36339704.020000003</v>
      </c>
      <c r="I522" s="29">
        <f t="shared" ref="I522" si="281">I523+I527</f>
        <v>36339704.020000003</v>
      </c>
      <c r="M522" s="258"/>
      <c r="N522" s="258"/>
      <c r="O522" s="162"/>
      <c r="AE522" s="54"/>
      <c r="AF522" s="54"/>
    </row>
    <row r="523" spans="1:32">
      <c r="A523" s="144">
        <v>507</v>
      </c>
      <c r="B523" s="306" t="s">
        <v>136</v>
      </c>
      <c r="C523" s="34" t="s">
        <v>165</v>
      </c>
      <c r="D523" s="34" t="s">
        <v>167</v>
      </c>
      <c r="E523" s="34" t="s">
        <v>199</v>
      </c>
      <c r="F523" s="144"/>
      <c r="G523" s="134">
        <f t="shared" ref="G523:I524" si="282">G524</f>
        <v>2163100</v>
      </c>
      <c r="H523" s="134">
        <f t="shared" si="282"/>
        <v>2895663.22</v>
      </c>
      <c r="I523" s="29">
        <f t="shared" si="282"/>
        <v>2895663.22</v>
      </c>
      <c r="M523" s="258"/>
      <c r="N523" s="258"/>
      <c r="O523" s="162"/>
      <c r="AE523" s="54"/>
      <c r="AF523" s="54"/>
    </row>
    <row r="524" spans="1:32" ht="105">
      <c r="A524" s="144">
        <v>508</v>
      </c>
      <c r="B524" s="322" t="s">
        <v>339</v>
      </c>
      <c r="C524" s="34">
        <v>951</v>
      </c>
      <c r="D524" s="34" t="s">
        <v>167</v>
      </c>
      <c r="E524" s="34" t="s">
        <v>202</v>
      </c>
      <c r="F524" s="144"/>
      <c r="G524" s="134">
        <f t="shared" ref="G524:I525" si="283">G525</f>
        <v>2163100</v>
      </c>
      <c r="H524" s="134">
        <f t="shared" si="282"/>
        <v>2895663.22</v>
      </c>
      <c r="I524" s="29">
        <f t="shared" si="282"/>
        <v>2895663.22</v>
      </c>
      <c r="M524" s="258"/>
      <c r="N524" s="258"/>
      <c r="O524" s="162"/>
      <c r="AE524" s="54"/>
      <c r="AF524" s="54"/>
    </row>
    <row r="525" spans="1:32" ht="30">
      <c r="A525" s="144">
        <v>509</v>
      </c>
      <c r="B525" s="143" t="s">
        <v>49</v>
      </c>
      <c r="C525" s="34">
        <v>951</v>
      </c>
      <c r="D525" s="34" t="s">
        <v>167</v>
      </c>
      <c r="E525" s="34" t="s">
        <v>202</v>
      </c>
      <c r="F525" s="144">
        <v>600</v>
      </c>
      <c r="G525" s="134">
        <f t="shared" si="283"/>
        <v>2163100</v>
      </c>
      <c r="H525" s="134">
        <f t="shared" si="283"/>
        <v>2895663.22</v>
      </c>
      <c r="I525" s="29">
        <f t="shared" si="283"/>
        <v>2895663.22</v>
      </c>
      <c r="M525" s="258"/>
      <c r="N525" s="258"/>
      <c r="O525" s="162"/>
      <c r="AE525" s="54"/>
      <c r="AF525" s="54"/>
    </row>
    <row r="526" spans="1:32">
      <c r="A526" s="144">
        <v>510</v>
      </c>
      <c r="B526" s="143" t="s">
        <v>67</v>
      </c>
      <c r="C526" s="34">
        <v>951</v>
      </c>
      <c r="D526" s="34" t="s">
        <v>167</v>
      </c>
      <c r="E526" s="34" t="s">
        <v>202</v>
      </c>
      <c r="F526" s="144">
        <v>610</v>
      </c>
      <c r="G526" s="134">
        <f>2895663.22-732563.22</f>
        <v>2163100</v>
      </c>
      <c r="H526" s="134">
        <v>2895663.22</v>
      </c>
      <c r="I526" s="157">
        <v>2895663.22</v>
      </c>
      <c r="J526" s="246"/>
      <c r="M526" s="257"/>
      <c r="N526" s="257"/>
      <c r="O526" s="162"/>
      <c r="AE526" s="54"/>
      <c r="AF526" s="54"/>
    </row>
    <row r="527" spans="1:32">
      <c r="A527" s="144">
        <v>511</v>
      </c>
      <c r="B527" s="306" t="s">
        <v>137</v>
      </c>
      <c r="C527" s="34">
        <v>951</v>
      </c>
      <c r="D527" s="34" t="s">
        <v>167</v>
      </c>
      <c r="E527" s="34" t="s">
        <v>203</v>
      </c>
      <c r="F527" s="144"/>
      <c r="G527" s="134">
        <f>G528+G531+G541+G544+G538</f>
        <v>38322665.799999997</v>
      </c>
      <c r="H527" s="134">
        <f t="shared" ref="H527:I527" si="284">H528+H531+H541+H544</f>
        <v>33444040.800000001</v>
      </c>
      <c r="I527" s="29">
        <f t="shared" si="284"/>
        <v>33444040.800000001</v>
      </c>
      <c r="M527" s="258"/>
      <c r="N527" s="258"/>
      <c r="O527" s="162"/>
      <c r="AE527" s="54"/>
      <c r="AF527" s="54"/>
    </row>
    <row r="528" spans="1:32" ht="45">
      <c r="A528" s="144">
        <v>512</v>
      </c>
      <c r="B528" s="143" t="s">
        <v>343</v>
      </c>
      <c r="C528" s="34">
        <v>951</v>
      </c>
      <c r="D528" s="34" t="s">
        <v>167</v>
      </c>
      <c r="E528" s="34" t="s">
        <v>204</v>
      </c>
      <c r="F528" s="144"/>
      <c r="G528" s="134">
        <f t="shared" ref="G528:I529" si="285">G529</f>
        <v>31177465.799999997</v>
      </c>
      <c r="H528" s="134">
        <f t="shared" si="285"/>
        <v>33444040.800000001</v>
      </c>
      <c r="I528" s="29">
        <f t="shared" si="285"/>
        <v>33444040.800000001</v>
      </c>
      <c r="M528" s="258"/>
      <c r="N528" s="258"/>
      <c r="O528" s="162"/>
      <c r="AE528" s="54"/>
      <c r="AF528" s="54"/>
    </row>
    <row r="529" spans="1:32" ht="30">
      <c r="A529" s="144">
        <v>513</v>
      </c>
      <c r="B529" s="143" t="s">
        <v>49</v>
      </c>
      <c r="C529" s="34">
        <v>951</v>
      </c>
      <c r="D529" s="34" t="s">
        <v>167</v>
      </c>
      <c r="E529" s="34" t="s">
        <v>204</v>
      </c>
      <c r="F529" s="144">
        <v>600</v>
      </c>
      <c r="G529" s="134">
        <f t="shared" si="285"/>
        <v>31177465.799999997</v>
      </c>
      <c r="H529" s="134">
        <f t="shared" si="285"/>
        <v>33444040.800000001</v>
      </c>
      <c r="I529" s="29">
        <f t="shared" si="285"/>
        <v>33444040.800000001</v>
      </c>
      <c r="J529" s="276"/>
      <c r="M529" s="258"/>
      <c r="N529" s="258"/>
      <c r="O529" s="162"/>
      <c r="AE529" s="54"/>
      <c r="AF529" s="54"/>
    </row>
    <row r="530" spans="1:32">
      <c r="A530" s="144">
        <v>514</v>
      </c>
      <c r="B530" s="143" t="s">
        <v>67</v>
      </c>
      <c r="C530" s="34">
        <v>951</v>
      </c>
      <c r="D530" s="34" t="s">
        <v>167</v>
      </c>
      <c r="E530" s="34" t="s">
        <v>204</v>
      </c>
      <c r="F530" s="144">
        <v>610</v>
      </c>
      <c r="G530" s="134">
        <f>27762178+291862.8+5390000+2182400-5695995+1247020</f>
        <v>31177465.799999997</v>
      </c>
      <c r="H530" s="134">
        <v>33444040.800000001</v>
      </c>
      <c r="I530" s="157">
        <v>33444040.800000001</v>
      </c>
      <c r="J530" s="263"/>
      <c r="M530" s="258"/>
      <c r="N530" s="258"/>
      <c r="O530" s="162"/>
      <c r="AE530" s="54"/>
      <c r="AF530" s="54"/>
    </row>
    <row r="531" spans="1:32" ht="30">
      <c r="A531" s="144">
        <v>515</v>
      </c>
      <c r="B531" s="143" t="s">
        <v>450</v>
      </c>
      <c r="C531" s="34" t="s">
        <v>165</v>
      </c>
      <c r="D531" s="34" t="s">
        <v>167</v>
      </c>
      <c r="E531" s="34" t="s">
        <v>428</v>
      </c>
      <c r="F531" s="144"/>
      <c r="G531" s="134">
        <f t="shared" ref="G531:I531" si="286">G532+G536</f>
        <v>5682366.6699999999</v>
      </c>
      <c r="H531" s="134">
        <f t="shared" si="286"/>
        <v>0</v>
      </c>
      <c r="I531" s="29">
        <f t="shared" si="286"/>
        <v>0</v>
      </c>
      <c r="M531" s="258"/>
      <c r="N531" s="258"/>
      <c r="O531" s="162"/>
      <c r="AE531" s="54"/>
      <c r="AF531" s="54"/>
    </row>
    <row r="532" spans="1:32" ht="30">
      <c r="A532" s="144">
        <v>516</v>
      </c>
      <c r="B532" s="143" t="s">
        <v>49</v>
      </c>
      <c r="C532" s="34" t="s">
        <v>165</v>
      </c>
      <c r="D532" s="34" t="s">
        <v>167</v>
      </c>
      <c r="E532" s="34" t="s">
        <v>428</v>
      </c>
      <c r="F532" s="144">
        <v>600</v>
      </c>
      <c r="G532" s="134">
        <f t="shared" ref="G532:I532" si="287">G533+G534+G535</f>
        <v>5661766.6699999999</v>
      </c>
      <c r="H532" s="134">
        <f t="shared" si="287"/>
        <v>0</v>
      </c>
      <c r="I532" s="29">
        <f t="shared" si="287"/>
        <v>0</v>
      </c>
      <c r="M532" s="258"/>
      <c r="N532" s="258"/>
      <c r="O532" s="162"/>
      <c r="AE532" s="54"/>
      <c r="AF532" s="54"/>
    </row>
    <row r="533" spans="1:32">
      <c r="A533" s="144">
        <v>517</v>
      </c>
      <c r="B533" s="143" t="s">
        <v>67</v>
      </c>
      <c r="C533" s="34" t="s">
        <v>165</v>
      </c>
      <c r="D533" s="34" t="s">
        <v>167</v>
      </c>
      <c r="E533" s="34" t="s">
        <v>428</v>
      </c>
      <c r="F533" s="144">
        <v>610</v>
      </c>
      <c r="G533" s="134">
        <v>5620566.6699999999</v>
      </c>
      <c r="H533" s="134"/>
      <c r="I533" s="157"/>
      <c r="J533" s="263"/>
      <c r="M533" s="258"/>
      <c r="N533" s="258"/>
      <c r="O533" s="162"/>
      <c r="AE533" s="54"/>
      <c r="AF533" s="54"/>
    </row>
    <row r="534" spans="1:32">
      <c r="A534" s="144">
        <v>518</v>
      </c>
      <c r="B534" s="143" t="s">
        <v>429</v>
      </c>
      <c r="C534" s="34" t="s">
        <v>165</v>
      </c>
      <c r="D534" s="34" t="s">
        <v>167</v>
      </c>
      <c r="E534" s="34" t="s">
        <v>428</v>
      </c>
      <c r="F534" s="144">
        <v>620</v>
      </c>
      <c r="G534" s="134">
        <v>20600</v>
      </c>
      <c r="H534" s="134"/>
      <c r="I534" s="157"/>
      <c r="J534" s="263"/>
      <c r="M534" s="258"/>
      <c r="N534" s="258"/>
      <c r="O534" s="162"/>
      <c r="AE534" s="54"/>
      <c r="AF534" s="54"/>
    </row>
    <row r="535" spans="1:32" ht="30">
      <c r="A535" s="144">
        <v>519</v>
      </c>
      <c r="B535" s="307" t="s">
        <v>451</v>
      </c>
      <c r="C535" s="34" t="s">
        <v>165</v>
      </c>
      <c r="D535" s="34" t="s">
        <v>167</v>
      </c>
      <c r="E535" s="34" t="s">
        <v>428</v>
      </c>
      <c r="F535" s="144">
        <v>630</v>
      </c>
      <c r="G535" s="134">
        <v>20600</v>
      </c>
      <c r="H535" s="134"/>
      <c r="I535" s="157"/>
      <c r="J535" s="263"/>
      <c r="M535" s="258"/>
      <c r="N535" s="258"/>
      <c r="O535" s="162"/>
      <c r="AE535" s="54"/>
      <c r="AF535" s="54"/>
    </row>
    <row r="536" spans="1:32">
      <c r="A536" s="144">
        <v>520</v>
      </c>
      <c r="B536" s="143" t="s">
        <v>430</v>
      </c>
      <c r="C536" s="34" t="s">
        <v>165</v>
      </c>
      <c r="D536" s="34" t="s">
        <v>167</v>
      </c>
      <c r="E536" s="34" t="s">
        <v>428</v>
      </c>
      <c r="F536" s="144">
        <v>800</v>
      </c>
      <c r="G536" s="134">
        <f>G537</f>
        <v>20600</v>
      </c>
      <c r="H536" s="134">
        <f t="shared" ref="H536:I536" si="288">H537</f>
        <v>0</v>
      </c>
      <c r="I536" s="29">
        <f t="shared" si="288"/>
        <v>0</v>
      </c>
      <c r="J536" s="263"/>
      <c r="M536" s="258"/>
      <c r="N536" s="258"/>
      <c r="O536" s="162"/>
      <c r="AE536" s="54"/>
      <c r="AF536" s="54"/>
    </row>
    <row r="537" spans="1:32" ht="33" customHeight="1">
      <c r="A537" s="144">
        <v>521</v>
      </c>
      <c r="B537" s="143" t="s">
        <v>431</v>
      </c>
      <c r="C537" s="34" t="s">
        <v>165</v>
      </c>
      <c r="D537" s="34" t="s">
        <v>167</v>
      </c>
      <c r="E537" s="34" t="s">
        <v>428</v>
      </c>
      <c r="F537" s="144">
        <v>810</v>
      </c>
      <c r="G537" s="134">
        <v>20600</v>
      </c>
      <c r="H537" s="134"/>
      <c r="I537" s="157"/>
      <c r="J537" s="263"/>
      <c r="M537" s="258"/>
      <c r="N537" s="258"/>
      <c r="O537" s="162"/>
      <c r="AE537" s="54"/>
      <c r="AF537" s="54"/>
    </row>
    <row r="538" spans="1:32" ht="54" customHeight="1">
      <c r="A538" s="144">
        <v>522</v>
      </c>
      <c r="B538" s="143" t="s">
        <v>586</v>
      </c>
      <c r="C538" s="34" t="s">
        <v>165</v>
      </c>
      <c r="D538" s="34" t="s">
        <v>167</v>
      </c>
      <c r="E538" s="34" t="s">
        <v>574</v>
      </c>
      <c r="F538" s="144"/>
      <c r="G538" s="134">
        <f>G539</f>
        <v>100000</v>
      </c>
      <c r="H538" s="134">
        <f t="shared" ref="H538:I539" si="289">H539</f>
        <v>0</v>
      </c>
      <c r="I538" s="29">
        <f t="shared" si="289"/>
        <v>0</v>
      </c>
      <c r="J538" s="263"/>
      <c r="M538" s="258"/>
      <c r="N538" s="258"/>
      <c r="O538" s="162"/>
      <c r="AE538" s="54"/>
      <c r="AF538" s="54"/>
    </row>
    <row r="539" spans="1:32" ht="33" customHeight="1">
      <c r="A539" s="144">
        <v>523</v>
      </c>
      <c r="B539" s="143" t="s">
        <v>551</v>
      </c>
      <c r="C539" s="34" t="s">
        <v>165</v>
      </c>
      <c r="D539" s="34" t="s">
        <v>167</v>
      </c>
      <c r="E539" s="34" t="s">
        <v>574</v>
      </c>
      <c r="F539" s="144">
        <v>600</v>
      </c>
      <c r="G539" s="134">
        <f>G540</f>
        <v>100000</v>
      </c>
      <c r="H539" s="134">
        <f t="shared" si="289"/>
        <v>0</v>
      </c>
      <c r="I539" s="29">
        <f t="shared" si="289"/>
        <v>0</v>
      </c>
      <c r="J539" s="256"/>
      <c r="M539" s="258"/>
      <c r="N539" s="258"/>
      <c r="O539" s="162"/>
      <c r="AE539" s="54"/>
      <c r="AF539" s="54"/>
    </row>
    <row r="540" spans="1:32" ht="33" customHeight="1">
      <c r="A540" s="144">
        <v>524</v>
      </c>
      <c r="B540" s="143" t="s">
        <v>573</v>
      </c>
      <c r="C540" s="34" t="s">
        <v>165</v>
      </c>
      <c r="D540" s="34" t="s">
        <v>167</v>
      </c>
      <c r="E540" s="34" t="s">
        <v>574</v>
      </c>
      <c r="F540" s="144">
        <v>610</v>
      </c>
      <c r="G540" s="134">
        <v>100000</v>
      </c>
      <c r="H540" s="134">
        <v>0</v>
      </c>
      <c r="I540" s="157">
        <v>0</v>
      </c>
      <c r="J540" s="276"/>
      <c r="M540" s="258"/>
      <c r="N540" s="258"/>
      <c r="O540" s="162"/>
      <c r="AE540" s="54"/>
      <c r="AF540" s="54"/>
    </row>
    <row r="541" spans="1:32" ht="84.75" customHeight="1">
      <c r="A541" s="144">
        <v>525</v>
      </c>
      <c r="B541" s="143" t="s">
        <v>510</v>
      </c>
      <c r="C541" s="34" t="s">
        <v>165</v>
      </c>
      <c r="D541" s="34" t="s">
        <v>167</v>
      </c>
      <c r="E541" s="34" t="s">
        <v>511</v>
      </c>
      <c r="F541" s="144"/>
      <c r="G541" s="134">
        <f>G542</f>
        <v>0</v>
      </c>
      <c r="H541" s="134">
        <f t="shared" ref="H541:I542" si="290">H542</f>
        <v>0</v>
      </c>
      <c r="I541" s="29">
        <f t="shared" si="290"/>
        <v>0</v>
      </c>
      <c r="M541" s="258"/>
      <c r="N541" s="258"/>
      <c r="O541" s="162"/>
      <c r="AE541" s="54"/>
      <c r="AF541" s="54"/>
    </row>
    <row r="542" spans="1:32" ht="33" customHeight="1">
      <c r="A542" s="144">
        <v>526</v>
      </c>
      <c r="B542" s="143" t="s">
        <v>49</v>
      </c>
      <c r="C542" s="34" t="s">
        <v>165</v>
      </c>
      <c r="D542" s="34" t="s">
        <v>167</v>
      </c>
      <c r="E542" s="34" t="s">
        <v>511</v>
      </c>
      <c r="F542" s="144">
        <v>600</v>
      </c>
      <c r="G542" s="134">
        <f>G543</f>
        <v>0</v>
      </c>
      <c r="H542" s="134">
        <f t="shared" si="290"/>
        <v>0</v>
      </c>
      <c r="I542" s="29">
        <f t="shared" si="290"/>
        <v>0</v>
      </c>
      <c r="M542" s="258"/>
      <c r="N542" s="258"/>
      <c r="O542" s="162"/>
      <c r="AE542" s="54"/>
      <c r="AF542" s="54"/>
    </row>
    <row r="543" spans="1:32" ht="33" customHeight="1">
      <c r="A543" s="144">
        <v>527</v>
      </c>
      <c r="B543" s="143" t="s">
        <v>67</v>
      </c>
      <c r="C543" s="34" t="s">
        <v>165</v>
      </c>
      <c r="D543" s="34" t="s">
        <v>167</v>
      </c>
      <c r="E543" s="34" t="s">
        <v>511</v>
      </c>
      <c r="F543" s="144">
        <v>610</v>
      </c>
      <c r="G543" s="134">
        <f>200000-200000</f>
        <v>0</v>
      </c>
      <c r="H543" s="134">
        <v>0</v>
      </c>
      <c r="I543" s="157">
        <v>0</v>
      </c>
      <c r="J543" s="276"/>
      <c r="M543" s="258"/>
      <c r="N543" s="258"/>
      <c r="O543" s="162"/>
      <c r="AE543" s="54"/>
      <c r="AF543" s="54"/>
    </row>
    <row r="544" spans="1:32" ht="68.25" customHeight="1">
      <c r="A544" s="144">
        <v>528</v>
      </c>
      <c r="B544" s="143" t="s">
        <v>587</v>
      </c>
      <c r="C544" s="34" t="s">
        <v>165</v>
      </c>
      <c r="D544" s="34" t="s">
        <v>167</v>
      </c>
      <c r="E544" s="34" t="s">
        <v>563</v>
      </c>
      <c r="F544" s="144"/>
      <c r="G544" s="134">
        <f>G545</f>
        <v>1362833.33</v>
      </c>
      <c r="H544" s="134">
        <f t="shared" ref="H544:I545" si="291">H545</f>
        <v>0</v>
      </c>
      <c r="I544" s="29">
        <f t="shared" si="291"/>
        <v>0</v>
      </c>
      <c r="M544" s="258"/>
      <c r="N544" s="258"/>
      <c r="O544" s="162"/>
      <c r="AE544" s="54"/>
      <c r="AF544" s="54"/>
    </row>
    <row r="545" spans="1:32" ht="33" customHeight="1">
      <c r="A545" s="144">
        <v>529</v>
      </c>
      <c r="B545" s="143" t="s">
        <v>551</v>
      </c>
      <c r="C545" s="34" t="s">
        <v>165</v>
      </c>
      <c r="D545" s="34" t="s">
        <v>167</v>
      </c>
      <c r="E545" s="34" t="s">
        <v>563</v>
      </c>
      <c r="F545" s="144">
        <v>600</v>
      </c>
      <c r="G545" s="134">
        <f>G546</f>
        <v>1362833.33</v>
      </c>
      <c r="H545" s="134">
        <f t="shared" si="291"/>
        <v>0</v>
      </c>
      <c r="I545" s="29">
        <f t="shared" si="291"/>
        <v>0</v>
      </c>
      <c r="J545" s="263"/>
      <c r="M545" s="258"/>
      <c r="N545" s="258"/>
      <c r="O545" s="162"/>
      <c r="AE545" s="54"/>
      <c r="AF545" s="54"/>
    </row>
    <row r="546" spans="1:32" ht="33" customHeight="1">
      <c r="A546" s="144">
        <v>530</v>
      </c>
      <c r="B546" s="143" t="s">
        <v>559</v>
      </c>
      <c r="C546" s="34" t="s">
        <v>165</v>
      </c>
      <c r="D546" s="34" t="s">
        <v>167</v>
      </c>
      <c r="E546" s="34" t="s">
        <v>563</v>
      </c>
      <c r="F546" s="144">
        <v>610</v>
      </c>
      <c r="G546" s="134">
        <v>1362833.33</v>
      </c>
      <c r="H546" s="134">
        <v>0</v>
      </c>
      <c r="I546" s="157">
        <v>0</v>
      </c>
      <c r="J546" s="246"/>
      <c r="M546" s="258"/>
      <c r="N546" s="258"/>
      <c r="O546" s="162"/>
      <c r="AE546" s="54"/>
      <c r="AF546" s="54"/>
    </row>
    <row r="547" spans="1:32">
      <c r="A547" s="144">
        <v>531</v>
      </c>
      <c r="B547" s="143" t="s">
        <v>53</v>
      </c>
      <c r="C547" s="34">
        <v>951</v>
      </c>
      <c r="D547" s="34" t="s">
        <v>119</v>
      </c>
      <c r="E547" s="34"/>
      <c r="F547" s="144"/>
      <c r="G547" s="134">
        <f t="shared" ref="G547:I549" si="292">G548</f>
        <v>27919695</v>
      </c>
      <c r="H547" s="134">
        <f t="shared" si="292"/>
        <v>26699396</v>
      </c>
      <c r="I547" s="29">
        <f t="shared" si="292"/>
        <v>26699396</v>
      </c>
      <c r="M547" s="258"/>
      <c r="N547" s="258"/>
      <c r="O547" s="162"/>
      <c r="AE547" s="54"/>
      <c r="AF547" s="54"/>
    </row>
    <row r="548" spans="1:32" ht="30">
      <c r="A548" s="144">
        <v>532</v>
      </c>
      <c r="B548" s="306" t="s">
        <v>54</v>
      </c>
      <c r="C548" s="34">
        <v>951</v>
      </c>
      <c r="D548" s="34" t="s">
        <v>119</v>
      </c>
      <c r="E548" s="34" t="s">
        <v>184</v>
      </c>
      <c r="F548" s="144"/>
      <c r="G548" s="134">
        <f t="shared" si="292"/>
        <v>27919695</v>
      </c>
      <c r="H548" s="134">
        <f t="shared" si="292"/>
        <v>26699396</v>
      </c>
      <c r="I548" s="29">
        <f t="shared" si="292"/>
        <v>26699396</v>
      </c>
      <c r="M548" s="258"/>
      <c r="N548" s="258"/>
      <c r="O548" s="162"/>
      <c r="AE548" s="54"/>
      <c r="AF548" s="54"/>
    </row>
    <row r="549" spans="1:32">
      <c r="A549" s="144">
        <v>533</v>
      </c>
      <c r="B549" s="306" t="s">
        <v>55</v>
      </c>
      <c r="C549" s="34">
        <v>951</v>
      </c>
      <c r="D549" s="34" t="s">
        <v>119</v>
      </c>
      <c r="E549" s="34" t="s">
        <v>185</v>
      </c>
      <c r="F549" s="144"/>
      <c r="G549" s="134">
        <f>G550</f>
        <v>27919695</v>
      </c>
      <c r="H549" s="134">
        <f t="shared" si="292"/>
        <v>26699396</v>
      </c>
      <c r="I549" s="29">
        <f t="shared" si="292"/>
        <v>26699396</v>
      </c>
      <c r="M549" s="258"/>
      <c r="N549" s="258"/>
      <c r="O549" s="162"/>
      <c r="AE549" s="54"/>
      <c r="AF549" s="54"/>
    </row>
    <row r="550" spans="1:32" ht="45">
      <c r="A550" s="144">
        <v>534</v>
      </c>
      <c r="B550" s="306" t="s">
        <v>340</v>
      </c>
      <c r="C550" s="34">
        <v>951</v>
      </c>
      <c r="D550" s="34" t="s">
        <v>119</v>
      </c>
      <c r="E550" s="34" t="s">
        <v>205</v>
      </c>
      <c r="F550" s="144"/>
      <c r="G550" s="134">
        <f t="shared" ref="G550:H550" si="293">G551+G553+G555</f>
        <v>27919695</v>
      </c>
      <c r="H550" s="134">
        <f t="shared" si="293"/>
        <v>26699396</v>
      </c>
      <c r="I550" s="29">
        <f t="shared" ref="I550" si="294">I551+I553+I555</f>
        <v>26699396</v>
      </c>
      <c r="M550" s="258"/>
      <c r="N550" s="258"/>
      <c r="O550" s="162"/>
      <c r="AE550" s="54"/>
      <c r="AF550" s="54"/>
    </row>
    <row r="551" spans="1:32" ht="45">
      <c r="A551" s="144">
        <v>535</v>
      </c>
      <c r="B551" s="143" t="s">
        <v>15</v>
      </c>
      <c r="C551" s="34">
        <v>951</v>
      </c>
      <c r="D551" s="34" t="s">
        <v>119</v>
      </c>
      <c r="E551" s="34" t="s">
        <v>205</v>
      </c>
      <c r="F551" s="144">
        <v>100</v>
      </c>
      <c r="G551" s="134">
        <f t="shared" ref="G551" si="295">G552</f>
        <v>24706065</v>
      </c>
      <c r="H551" s="134">
        <f t="shared" ref="H551:I551" si="296">H552</f>
        <v>23485766</v>
      </c>
      <c r="I551" s="29">
        <f t="shared" si="296"/>
        <v>23485766</v>
      </c>
      <c r="M551" s="258"/>
      <c r="N551" s="258"/>
      <c r="O551" s="162"/>
      <c r="AE551" s="54"/>
      <c r="AF551" s="54"/>
    </row>
    <row r="552" spans="1:32">
      <c r="A552" s="144">
        <v>536</v>
      </c>
      <c r="B552" s="143" t="s">
        <v>63</v>
      </c>
      <c r="C552" s="34">
        <v>951</v>
      </c>
      <c r="D552" s="34" t="s">
        <v>119</v>
      </c>
      <c r="E552" s="34" t="s">
        <v>205</v>
      </c>
      <c r="F552" s="144">
        <v>110</v>
      </c>
      <c r="G552" s="134">
        <f>22172770+166370+1146626+1220299</f>
        <v>24706065</v>
      </c>
      <c r="H552" s="134">
        <v>23485766</v>
      </c>
      <c r="I552" s="157">
        <v>23485766</v>
      </c>
      <c r="M552" s="258"/>
      <c r="N552" s="258"/>
      <c r="O552" s="162"/>
      <c r="AE552" s="54"/>
      <c r="AF552" s="54"/>
    </row>
    <row r="553" spans="1:32">
      <c r="A553" s="144">
        <v>537</v>
      </c>
      <c r="B553" s="143" t="s">
        <v>20</v>
      </c>
      <c r="C553" s="34">
        <v>951</v>
      </c>
      <c r="D553" s="34" t="s">
        <v>119</v>
      </c>
      <c r="E553" s="34" t="s">
        <v>205</v>
      </c>
      <c r="F553" s="144">
        <v>200</v>
      </c>
      <c r="G553" s="134">
        <f t="shared" ref="G553:I553" si="297">G554</f>
        <v>3163630</v>
      </c>
      <c r="H553" s="134">
        <f t="shared" si="297"/>
        <v>3163630</v>
      </c>
      <c r="I553" s="29">
        <f t="shared" si="297"/>
        <v>3163630</v>
      </c>
      <c r="M553" s="258"/>
      <c r="N553" s="258"/>
      <c r="O553" s="162"/>
      <c r="AE553" s="54"/>
      <c r="AF553" s="54"/>
    </row>
    <row r="554" spans="1:32">
      <c r="A554" s="144">
        <v>538</v>
      </c>
      <c r="B554" s="143" t="s">
        <v>21</v>
      </c>
      <c r="C554" s="34">
        <v>951</v>
      </c>
      <c r="D554" s="34" t="s">
        <v>119</v>
      </c>
      <c r="E554" s="34" t="s">
        <v>205</v>
      </c>
      <c r="F554" s="144">
        <v>240</v>
      </c>
      <c r="G554" s="134">
        <f>3087790+75840</f>
        <v>3163630</v>
      </c>
      <c r="H554" s="134">
        <v>3163630</v>
      </c>
      <c r="I554" s="157">
        <v>3163630</v>
      </c>
      <c r="M554" s="258"/>
      <c r="N554" s="258"/>
      <c r="O554" s="162"/>
      <c r="AE554" s="54"/>
      <c r="AF554" s="54"/>
    </row>
    <row r="555" spans="1:32">
      <c r="A555" s="144">
        <v>539</v>
      </c>
      <c r="B555" s="143" t="s">
        <v>32</v>
      </c>
      <c r="C555" s="34">
        <v>951</v>
      </c>
      <c r="D555" s="34" t="s">
        <v>119</v>
      </c>
      <c r="E555" s="34" t="s">
        <v>205</v>
      </c>
      <c r="F555" s="144">
        <v>800</v>
      </c>
      <c r="G555" s="134">
        <f>G556+G557</f>
        <v>50000</v>
      </c>
      <c r="H555" s="134">
        <f>H556+H557</f>
        <v>50000</v>
      </c>
      <c r="I555" s="29">
        <f>I556+I557</f>
        <v>50000</v>
      </c>
      <c r="M555" s="258"/>
      <c r="N555" s="258"/>
      <c r="O555" s="162"/>
      <c r="AE555" s="54"/>
      <c r="AF555" s="54"/>
    </row>
    <row r="556" spans="1:32">
      <c r="A556" s="144">
        <v>540</v>
      </c>
      <c r="B556" s="308" t="s">
        <v>38</v>
      </c>
      <c r="C556" s="34">
        <v>951</v>
      </c>
      <c r="D556" s="34" t="s">
        <v>119</v>
      </c>
      <c r="E556" s="34" t="s">
        <v>205</v>
      </c>
      <c r="F556" s="144">
        <v>830</v>
      </c>
      <c r="G556" s="134">
        <v>5000</v>
      </c>
      <c r="H556" s="134">
        <v>5000</v>
      </c>
      <c r="I556" s="157">
        <v>5000</v>
      </c>
      <c r="M556" s="258"/>
      <c r="N556" s="258"/>
      <c r="O556" s="162"/>
      <c r="AE556" s="54"/>
      <c r="AF556" s="54"/>
    </row>
    <row r="557" spans="1:32">
      <c r="A557" s="144">
        <v>541</v>
      </c>
      <c r="B557" s="143" t="s">
        <v>80</v>
      </c>
      <c r="C557" s="34">
        <v>951</v>
      </c>
      <c r="D557" s="34" t="s">
        <v>119</v>
      </c>
      <c r="E557" s="34" t="s">
        <v>205</v>
      </c>
      <c r="F557" s="144">
        <v>850</v>
      </c>
      <c r="G557" s="134">
        <v>45000</v>
      </c>
      <c r="H557" s="134">
        <v>45000</v>
      </c>
      <c r="I557" s="157">
        <v>45000</v>
      </c>
      <c r="M557" s="258"/>
      <c r="N557" s="258"/>
      <c r="O557" s="162"/>
      <c r="AE557" s="54"/>
      <c r="AF557" s="54"/>
    </row>
    <row r="558" spans="1:32">
      <c r="A558" s="144">
        <v>542</v>
      </c>
      <c r="B558" s="305" t="s">
        <v>124</v>
      </c>
      <c r="C558" s="309" t="s">
        <v>165</v>
      </c>
      <c r="D558" s="309" t="s">
        <v>125</v>
      </c>
      <c r="E558" s="309"/>
      <c r="F558" s="144"/>
      <c r="G558" s="134">
        <f>G559+G578</f>
        <v>22076095.200000003</v>
      </c>
      <c r="H558" s="134">
        <f>H559+H578</f>
        <v>22076236.200000003</v>
      </c>
      <c r="I558" s="29">
        <f>I559+I578</f>
        <v>21932260.560000002</v>
      </c>
      <c r="M558" s="258"/>
      <c r="N558" s="258"/>
      <c r="O558" s="162"/>
      <c r="AE558" s="54"/>
      <c r="AF558" s="54"/>
    </row>
    <row r="559" spans="1:32">
      <c r="A559" s="144">
        <v>543</v>
      </c>
      <c r="B559" s="306" t="s">
        <v>78</v>
      </c>
      <c r="C559" s="309" t="s">
        <v>165</v>
      </c>
      <c r="D559" s="309" t="s">
        <v>127</v>
      </c>
      <c r="E559" s="309"/>
      <c r="F559" s="144"/>
      <c r="G559" s="134">
        <f>G560</f>
        <v>19496995.200000003</v>
      </c>
      <c r="H559" s="134">
        <f>H560</f>
        <v>19497136.200000003</v>
      </c>
      <c r="I559" s="29">
        <f t="shared" ref="G559:I560" si="298">I560</f>
        <v>19353160.560000002</v>
      </c>
      <c r="M559" s="258"/>
      <c r="N559" s="258"/>
      <c r="O559" s="162"/>
      <c r="AE559" s="54"/>
      <c r="AF559" s="54"/>
    </row>
    <row r="560" spans="1:32" ht="30">
      <c r="A560" s="144">
        <v>544</v>
      </c>
      <c r="B560" s="306" t="s">
        <v>54</v>
      </c>
      <c r="C560" s="309" t="s">
        <v>165</v>
      </c>
      <c r="D560" s="309" t="s">
        <v>127</v>
      </c>
      <c r="E560" s="309" t="s">
        <v>184</v>
      </c>
      <c r="F560" s="144"/>
      <c r="G560" s="134">
        <f t="shared" si="298"/>
        <v>19496995.200000003</v>
      </c>
      <c r="H560" s="134">
        <f t="shared" si="298"/>
        <v>19497136.200000003</v>
      </c>
      <c r="I560" s="29">
        <f t="shared" si="298"/>
        <v>19353160.560000002</v>
      </c>
      <c r="M560" s="258"/>
      <c r="N560" s="258"/>
      <c r="O560" s="162"/>
      <c r="AE560" s="54"/>
      <c r="AF560" s="54"/>
    </row>
    <row r="561" spans="1:32">
      <c r="A561" s="144">
        <v>545</v>
      </c>
      <c r="B561" s="306" t="s">
        <v>136</v>
      </c>
      <c r="C561" s="309">
        <v>951</v>
      </c>
      <c r="D561" s="309" t="s">
        <v>127</v>
      </c>
      <c r="E561" s="309" t="s">
        <v>199</v>
      </c>
      <c r="F561" s="144"/>
      <c r="G561" s="134">
        <f>G562+G567+G573+G570</f>
        <v>19496995.200000003</v>
      </c>
      <c r="H561" s="134">
        <f>H562+H567+H573+H570</f>
        <v>19497136.200000003</v>
      </c>
      <c r="I561" s="29">
        <f t="shared" ref="I561" si="299">I562+I567+I573+I570</f>
        <v>19353160.560000002</v>
      </c>
      <c r="M561" s="258"/>
      <c r="N561" s="258"/>
      <c r="O561" s="162"/>
      <c r="AE561" s="54"/>
      <c r="AF561" s="54"/>
    </row>
    <row r="562" spans="1:32" ht="90">
      <c r="A562" s="144">
        <v>546</v>
      </c>
      <c r="B562" s="315" t="s">
        <v>342</v>
      </c>
      <c r="C562" s="309">
        <v>951</v>
      </c>
      <c r="D562" s="309" t="s">
        <v>127</v>
      </c>
      <c r="E562" s="309" t="s">
        <v>207</v>
      </c>
      <c r="F562" s="144"/>
      <c r="G562" s="134">
        <f>G563+G565</f>
        <v>7700400</v>
      </c>
      <c r="H562" s="134">
        <f>H563+H565</f>
        <v>7700400</v>
      </c>
      <c r="I562" s="29">
        <f>I563+I565</f>
        <v>7700400</v>
      </c>
      <c r="M562" s="258"/>
      <c r="N562" s="258"/>
      <c r="O562" s="162"/>
      <c r="AE562" s="54"/>
      <c r="AF562" s="54"/>
    </row>
    <row r="563" spans="1:32">
      <c r="A563" s="144">
        <v>547</v>
      </c>
      <c r="B563" s="143" t="s">
        <v>77</v>
      </c>
      <c r="C563" s="309">
        <v>951</v>
      </c>
      <c r="D563" s="309" t="s">
        <v>127</v>
      </c>
      <c r="E563" s="309" t="s">
        <v>207</v>
      </c>
      <c r="F563" s="144">
        <v>300</v>
      </c>
      <c r="G563" s="134">
        <f t="shared" ref="G563:I563" si="300">G564</f>
        <v>0</v>
      </c>
      <c r="H563" s="134">
        <f t="shared" si="300"/>
        <v>0</v>
      </c>
      <c r="I563" s="29">
        <f t="shared" si="300"/>
        <v>0</v>
      </c>
      <c r="M563" s="258"/>
      <c r="N563" s="258"/>
      <c r="O563" s="162"/>
      <c r="AE563" s="54"/>
      <c r="AF563" s="54"/>
    </row>
    <row r="564" spans="1:32">
      <c r="A564" s="144">
        <v>548</v>
      </c>
      <c r="B564" s="143" t="s">
        <v>81</v>
      </c>
      <c r="C564" s="309">
        <v>951</v>
      </c>
      <c r="D564" s="309" t="s">
        <v>127</v>
      </c>
      <c r="E564" s="309" t="s">
        <v>207</v>
      </c>
      <c r="F564" s="144">
        <v>320</v>
      </c>
      <c r="G564" s="134">
        <f>230000-230000</f>
        <v>0</v>
      </c>
      <c r="H564" s="134">
        <f>230000-230000</f>
        <v>0</v>
      </c>
      <c r="I564" s="157">
        <f>230000-230000</f>
        <v>0</v>
      </c>
      <c r="J564" s="246"/>
      <c r="K564" s="246"/>
      <c r="L564" s="246"/>
      <c r="M564" s="258"/>
      <c r="N564" s="258"/>
      <c r="O564" s="162"/>
      <c r="AE564" s="54"/>
      <c r="AF564" s="54"/>
    </row>
    <row r="565" spans="1:32" ht="30">
      <c r="A565" s="144">
        <v>549</v>
      </c>
      <c r="B565" s="143" t="s">
        <v>49</v>
      </c>
      <c r="C565" s="309">
        <v>951</v>
      </c>
      <c r="D565" s="309" t="s">
        <v>127</v>
      </c>
      <c r="E565" s="309" t="s">
        <v>207</v>
      </c>
      <c r="F565" s="144">
        <v>600</v>
      </c>
      <c r="G565" s="134">
        <f t="shared" ref="G565:I565" si="301">G566</f>
        <v>7700400</v>
      </c>
      <c r="H565" s="134">
        <f t="shared" si="301"/>
        <v>7700400</v>
      </c>
      <c r="I565" s="29">
        <f t="shared" si="301"/>
        <v>7700400</v>
      </c>
      <c r="M565" s="258"/>
      <c r="N565" s="258"/>
      <c r="O565" s="162"/>
      <c r="AE565" s="54"/>
      <c r="AF565" s="54"/>
    </row>
    <row r="566" spans="1:32">
      <c r="A566" s="144">
        <v>550</v>
      </c>
      <c r="B566" s="143" t="s">
        <v>67</v>
      </c>
      <c r="C566" s="309">
        <v>951</v>
      </c>
      <c r="D566" s="309" t="s">
        <v>127</v>
      </c>
      <c r="E566" s="309" t="s">
        <v>207</v>
      </c>
      <c r="F566" s="144">
        <v>610</v>
      </c>
      <c r="G566" s="134">
        <f>8868000-1397600+230000</f>
        <v>7700400</v>
      </c>
      <c r="H566" s="134">
        <f>8868000-1397600+230000</f>
        <v>7700400</v>
      </c>
      <c r="I566" s="157">
        <f>8868000-1397600+230000</f>
        <v>7700400</v>
      </c>
      <c r="J566" s="246"/>
      <c r="K566" s="246"/>
      <c r="L566" s="246"/>
      <c r="M566" s="258"/>
      <c r="N566" s="258"/>
      <c r="O566" s="162"/>
      <c r="AE566" s="54"/>
      <c r="AF566" s="54"/>
    </row>
    <row r="567" spans="1:32" ht="90">
      <c r="A567" s="144">
        <v>551</v>
      </c>
      <c r="B567" s="143" t="s">
        <v>418</v>
      </c>
      <c r="C567" s="34" t="s">
        <v>165</v>
      </c>
      <c r="D567" s="309" t="s">
        <v>127</v>
      </c>
      <c r="E567" s="34" t="s">
        <v>419</v>
      </c>
      <c r="F567" s="144"/>
      <c r="G567" s="134">
        <f t="shared" ref="G567:I567" si="302">G568</f>
        <v>10348848.85</v>
      </c>
      <c r="H567" s="134">
        <f t="shared" si="302"/>
        <v>10310538.6</v>
      </c>
      <c r="I567" s="29">
        <f t="shared" si="302"/>
        <v>10166562.960000001</v>
      </c>
      <c r="J567" s="256"/>
      <c r="M567" s="258"/>
      <c r="N567" s="258"/>
      <c r="O567" s="162"/>
      <c r="AE567" s="54"/>
      <c r="AF567" s="54"/>
    </row>
    <row r="568" spans="1:32" ht="30">
      <c r="A568" s="144">
        <v>552</v>
      </c>
      <c r="B568" s="143" t="s">
        <v>49</v>
      </c>
      <c r="C568" s="34" t="s">
        <v>165</v>
      </c>
      <c r="D568" s="309" t="s">
        <v>127</v>
      </c>
      <c r="E568" s="34" t="s">
        <v>419</v>
      </c>
      <c r="F568" s="144">
        <v>600</v>
      </c>
      <c r="G568" s="134">
        <f>G569</f>
        <v>10348848.85</v>
      </c>
      <c r="H568" s="134">
        <f>H569</f>
        <v>10310538.6</v>
      </c>
      <c r="I568" s="29">
        <f>I569</f>
        <v>10166562.960000001</v>
      </c>
      <c r="J568" s="263"/>
      <c r="K568" s="256"/>
      <c r="L568" s="256"/>
      <c r="M568" s="258"/>
      <c r="N568" s="258"/>
      <c r="O568" s="162"/>
      <c r="AE568" s="54"/>
      <c r="AF568" s="54"/>
    </row>
    <row r="569" spans="1:32">
      <c r="A569" s="144">
        <v>553</v>
      </c>
      <c r="B569" s="143" t="s">
        <v>67</v>
      </c>
      <c r="C569" s="34" t="s">
        <v>165</v>
      </c>
      <c r="D569" s="309" t="s">
        <v>127</v>
      </c>
      <c r="E569" s="34" t="s">
        <v>419</v>
      </c>
      <c r="F569" s="144">
        <v>610</v>
      </c>
      <c r="G569" s="134">
        <f>10642200+10642.2-255000-244.6-48748.75</f>
        <v>10348848.85</v>
      </c>
      <c r="H569" s="134">
        <f>10783200+10783.2-244.6-396000-87200</f>
        <v>10310538.6</v>
      </c>
      <c r="I569" s="157">
        <f>3312500+3312.5+6927700+10250.46-87200</f>
        <v>10166562.960000001</v>
      </c>
      <c r="J569" s="246"/>
      <c r="K569" s="246"/>
      <c r="L569" s="246"/>
      <c r="M569" s="257"/>
      <c r="N569" s="257"/>
      <c r="O569" s="247"/>
      <c r="AE569" s="54"/>
      <c r="AF569" s="54"/>
    </row>
    <row r="570" spans="1:32" ht="99" customHeight="1">
      <c r="A570" s="144">
        <v>554</v>
      </c>
      <c r="B570" s="143" t="s">
        <v>588</v>
      </c>
      <c r="C570" s="34" t="s">
        <v>165</v>
      </c>
      <c r="D570" s="309" t="s">
        <v>127</v>
      </c>
      <c r="E570" s="34"/>
      <c r="F570" s="144"/>
      <c r="G570" s="134">
        <f>G571</f>
        <v>48748.75</v>
      </c>
      <c r="H570" s="134">
        <f t="shared" ref="H570:I571" si="303">H571</f>
        <v>87200</v>
      </c>
      <c r="I570" s="29">
        <f t="shared" si="303"/>
        <v>87200</v>
      </c>
      <c r="M570" s="257"/>
      <c r="N570" s="257"/>
      <c r="O570" s="247"/>
      <c r="AE570" s="54"/>
      <c r="AF570" s="54"/>
    </row>
    <row r="571" spans="1:32" ht="30">
      <c r="A571" s="144">
        <v>555</v>
      </c>
      <c r="B571" s="143" t="s">
        <v>551</v>
      </c>
      <c r="C571" s="34" t="s">
        <v>165</v>
      </c>
      <c r="D571" s="309" t="s">
        <v>127</v>
      </c>
      <c r="E571" s="34" t="s">
        <v>562</v>
      </c>
      <c r="F571" s="144">
        <v>600</v>
      </c>
      <c r="G571" s="134">
        <f>G572</f>
        <v>48748.75</v>
      </c>
      <c r="H571" s="134">
        <f t="shared" si="303"/>
        <v>87200</v>
      </c>
      <c r="I571" s="29">
        <f t="shared" si="303"/>
        <v>87200</v>
      </c>
      <c r="J571" s="263"/>
      <c r="M571" s="257"/>
      <c r="N571" s="257"/>
      <c r="O571" s="247"/>
      <c r="AE571" s="54"/>
      <c r="AF571" s="54"/>
    </row>
    <row r="572" spans="1:32">
      <c r="A572" s="144">
        <v>556</v>
      </c>
      <c r="B572" s="143" t="s">
        <v>559</v>
      </c>
      <c r="C572" s="34" t="s">
        <v>165</v>
      </c>
      <c r="D572" s="309" t="s">
        <v>127</v>
      </c>
      <c r="E572" s="34" t="s">
        <v>562</v>
      </c>
      <c r="F572" s="144">
        <v>610</v>
      </c>
      <c r="G572" s="134">
        <v>48748.75</v>
      </c>
      <c r="H572" s="134">
        <v>87200</v>
      </c>
      <c r="I572" s="157">
        <v>87200</v>
      </c>
      <c r="J572" s="246"/>
      <c r="K572" s="246"/>
      <c r="L572" s="246"/>
      <c r="M572" s="257"/>
      <c r="N572" s="257"/>
      <c r="O572" s="247"/>
      <c r="AE572" s="54"/>
      <c r="AF572" s="54"/>
    </row>
    <row r="573" spans="1:32" ht="60.75" customHeight="1">
      <c r="A573" s="144">
        <v>557</v>
      </c>
      <c r="B573" s="143" t="s">
        <v>535</v>
      </c>
      <c r="C573" s="34" t="s">
        <v>165</v>
      </c>
      <c r="D573" s="309" t="s">
        <v>127</v>
      </c>
      <c r="E573" s="34" t="s">
        <v>536</v>
      </c>
      <c r="F573" s="144"/>
      <c r="G573" s="134">
        <f>G574+G576</f>
        <v>1398997.6</v>
      </c>
      <c r="H573" s="134">
        <f t="shared" ref="H573:I573" si="304">H574+H576</f>
        <v>1398997.6</v>
      </c>
      <c r="I573" s="29">
        <f t="shared" si="304"/>
        <v>1398997.6</v>
      </c>
      <c r="M573" s="257"/>
      <c r="N573" s="257"/>
      <c r="O573" s="247"/>
      <c r="AE573" s="54"/>
      <c r="AF573" s="54"/>
    </row>
    <row r="574" spans="1:32">
      <c r="A574" s="144">
        <v>558</v>
      </c>
      <c r="B574" s="143" t="s">
        <v>561</v>
      </c>
      <c r="C574" s="34" t="s">
        <v>165</v>
      </c>
      <c r="D574" s="309" t="s">
        <v>127</v>
      </c>
      <c r="E574" s="34" t="s">
        <v>536</v>
      </c>
      <c r="F574" s="144">
        <v>300</v>
      </c>
      <c r="G574" s="134">
        <f>G575</f>
        <v>190000</v>
      </c>
      <c r="H574" s="134">
        <f t="shared" ref="H574:I574" si="305">H575</f>
        <v>0</v>
      </c>
      <c r="I574" s="29">
        <f t="shared" si="305"/>
        <v>0</v>
      </c>
      <c r="M574" s="257"/>
      <c r="N574" s="257"/>
      <c r="O574" s="247"/>
      <c r="AE574" s="54"/>
      <c r="AF574" s="54"/>
    </row>
    <row r="575" spans="1:32">
      <c r="A575" s="144">
        <v>559</v>
      </c>
      <c r="B575" s="143" t="s">
        <v>81</v>
      </c>
      <c r="C575" s="34" t="s">
        <v>165</v>
      </c>
      <c r="D575" s="309" t="s">
        <v>127</v>
      </c>
      <c r="E575" s="34" t="s">
        <v>536</v>
      </c>
      <c r="F575" s="144">
        <v>320</v>
      </c>
      <c r="G575" s="134">
        <v>190000</v>
      </c>
      <c r="H575" s="134">
        <v>0</v>
      </c>
      <c r="I575" s="157">
        <v>0</v>
      </c>
      <c r="J575" s="246"/>
      <c r="M575" s="257"/>
      <c r="N575" s="257"/>
      <c r="O575" s="247"/>
      <c r="AE575" s="54"/>
      <c r="AF575" s="54"/>
    </row>
    <row r="576" spans="1:32" ht="30">
      <c r="A576" s="144">
        <v>560</v>
      </c>
      <c r="B576" s="143" t="s">
        <v>49</v>
      </c>
      <c r="C576" s="34" t="s">
        <v>165</v>
      </c>
      <c r="D576" s="309" t="s">
        <v>127</v>
      </c>
      <c r="E576" s="34" t="s">
        <v>536</v>
      </c>
      <c r="F576" s="144">
        <v>600</v>
      </c>
      <c r="G576" s="134">
        <f>G577</f>
        <v>1208997.6000000001</v>
      </c>
      <c r="H576" s="134">
        <f>H577</f>
        <v>1398997.6</v>
      </c>
      <c r="I576" s="157">
        <f>I577</f>
        <v>1398997.6</v>
      </c>
      <c r="M576" s="257"/>
      <c r="N576" s="257"/>
      <c r="O576" s="162"/>
      <c r="AE576" s="54"/>
      <c r="AF576" s="54"/>
    </row>
    <row r="577" spans="1:32">
      <c r="A577" s="144">
        <v>561</v>
      </c>
      <c r="B577" s="143" t="s">
        <v>67</v>
      </c>
      <c r="C577" s="34" t="s">
        <v>165</v>
      </c>
      <c r="D577" s="309" t="s">
        <v>127</v>
      </c>
      <c r="E577" s="34" t="s">
        <v>536</v>
      </c>
      <c r="F577" s="144">
        <v>610</v>
      </c>
      <c r="G577" s="134">
        <f>1397600+1397.6-190000</f>
        <v>1208997.6000000001</v>
      </c>
      <c r="H577" s="134">
        <v>1398997.6</v>
      </c>
      <c r="I577" s="157">
        <v>1398997.6</v>
      </c>
      <c r="J577" s="246"/>
      <c r="M577" s="257"/>
      <c r="N577" s="257"/>
      <c r="O577" s="247"/>
      <c r="AE577" s="54"/>
      <c r="AF577" s="54"/>
    </row>
    <row r="578" spans="1:32">
      <c r="A578" s="144">
        <v>562</v>
      </c>
      <c r="B578" s="307" t="s">
        <v>58</v>
      </c>
      <c r="C578" s="309" t="s">
        <v>165</v>
      </c>
      <c r="D578" s="309" t="s">
        <v>166</v>
      </c>
      <c r="E578" s="309"/>
      <c r="F578" s="144"/>
      <c r="G578" s="134">
        <f t="shared" ref="G578:I578" si="306">G579</f>
        <v>2579100</v>
      </c>
      <c r="H578" s="134">
        <f t="shared" si="306"/>
        <v>2579100</v>
      </c>
      <c r="I578" s="29">
        <f t="shared" si="306"/>
        <v>2579100</v>
      </c>
      <c r="M578" s="258"/>
      <c r="N578" s="258"/>
      <c r="O578" s="162"/>
      <c r="AE578" s="54"/>
      <c r="AF578" s="54"/>
    </row>
    <row r="579" spans="1:32" ht="30">
      <c r="A579" s="144">
        <v>563</v>
      </c>
      <c r="B579" s="306" t="s">
        <v>54</v>
      </c>
      <c r="C579" s="309" t="s">
        <v>165</v>
      </c>
      <c r="D579" s="309" t="s">
        <v>166</v>
      </c>
      <c r="E579" s="309" t="s">
        <v>184</v>
      </c>
      <c r="F579" s="144"/>
      <c r="G579" s="134">
        <f t="shared" ref="G579:I579" si="307">G580</f>
        <v>2579100</v>
      </c>
      <c r="H579" s="134">
        <f t="shared" si="307"/>
        <v>2579100</v>
      </c>
      <c r="I579" s="29">
        <f t="shared" si="307"/>
        <v>2579100</v>
      </c>
      <c r="M579" s="258"/>
      <c r="N579" s="258"/>
      <c r="O579" s="162"/>
      <c r="AE579" s="54"/>
      <c r="AF579" s="54"/>
    </row>
    <row r="580" spans="1:32">
      <c r="A580" s="144">
        <v>564</v>
      </c>
      <c r="B580" s="306" t="s">
        <v>55</v>
      </c>
      <c r="C580" s="309" t="s">
        <v>165</v>
      </c>
      <c r="D580" s="309" t="s">
        <v>166</v>
      </c>
      <c r="E580" s="309" t="s">
        <v>185</v>
      </c>
      <c r="F580" s="144"/>
      <c r="G580" s="134">
        <f t="shared" ref="G580:I580" si="308">G581</f>
        <v>2579100</v>
      </c>
      <c r="H580" s="134">
        <f t="shared" si="308"/>
        <v>2579100</v>
      </c>
      <c r="I580" s="29">
        <f t="shared" si="308"/>
        <v>2579100</v>
      </c>
      <c r="M580" s="258"/>
      <c r="N580" s="258"/>
      <c r="O580" s="162"/>
      <c r="AE580" s="54"/>
      <c r="AF580" s="54"/>
    </row>
    <row r="581" spans="1:32" ht="75">
      <c r="A581" s="144">
        <v>565</v>
      </c>
      <c r="B581" s="322" t="s">
        <v>341</v>
      </c>
      <c r="C581" s="34">
        <v>951</v>
      </c>
      <c r="D581" s="34" t="s">
        <v>166</v>
      </c>
      <c r="E581" s="34" t="s">
        <v>206</v>
      </c>
      <c r="F581" s="144"/>
      <c r="G581" s="134">
        <f>G582+G584</f>
        <v>2579100</v>
      </c>
      <c r="H581" s="134">
        <f>H582+H584</f>
        <v>2579100</v>
      </c>
      <c r="I581" s="29">
        <f>I582+I584</f>
        <v>2579100</v>
      </c>
      <c r="M581" s="258"/>
      <c r="N581" s="258"/>
      <c r="O581" s="162"/>
      <c r="AE581" s="54"/>
      <c r="AF581" s="54"/>
    </row>
    <row r="582" spans="1:32">
      <c r="A582" s="144">
        <v>566</v>
      </c>
      <c r="B582" s="143" t="s">
        <v>77</v>
      </c>
      <c r="C582" s="34">
        <v>951</v>
      </c>
      <c r="D582" s="34" t="s">
        <v>166</v>
      </c>
      <c r="E582" s="34" t="s">
        <v>206</v>
      </c>
      <c r="F582" s="144">
        <v>300</v>
      </c>
      <c r="G582" s="134">
        <f t="shared" ref="G582:I582" si="309">G583</f>
        <v>2559100</v>
      </c>
      <c r="H582" s="134">
        <f t="shared" si="309"/>
        <v>2559100</v>
      </c>
      <c r="I582" s="29">
        <f t="shared" si="309"/>
        <v>2559100</v>
      </c>
      <c r="M582" s="258"/>
      <c r="N582" s="258"/>
      <c r="O582" s="162"/>
      <c r="AE582" s="54"/>
      <c r="AF582" s="54"/>
    </row>
    <row r="583" spans="1:32">
      <c r="A583" s="144">
        <v>567</v>
      </c>
      <c r="B583" s="143" t="s">
        <v>81</v>
      </c>
      <c r="C583" s="34">
        <v>951</v>
      </c>
      <c r="D583" s="34" t="s">
        <v>166</v>
      </c>
      <c r="E583" s="34" t="s">
        <v>206</v>
      </c>
      <c r="F583" s="144">
        <v>320</v>
      </c>
      <c r="G583" s="134">
        <v>2559100</v>
      </c>
      <c r="H583" s="134">
        <v>2559100</v>
      </c>
      <c r="I583" s="157">
        <v>2559100</v>
      </c>
      <c r="M583" s="258"/>
      <c r="N583" s="258"/>
      <c r="O583" s="162"/>
      <c r="AE583" s="54"/>
      <c r="AF583" s="54"/>
    </row>
    <row r="584" spans="1:32">
      <c r="A584" s="144">
        <v>568</v>
      </c>
      <c r="B584" s="143" t="s">
        <v>20</v>
      </c>
      <c r="C584" s="34">
        <v>951</v>
      </c>
      <c r="D584" s="34" t="s">
        <v>166</v>
      </c>
      <c r="E584" s="34" t="s">
        <v>206</v>
      </c>
      <c r="F584" s="144">
        <v>200</v>
      </c>
      <c r="G584" s="134">
        <f t="shared" ref="G584:I584" si="310">G585</f>
        <v>20000</v>
      </c>
      <c r="H584" s="134">
        <f t="shared" si="310"/>
        <v>20000</v>
      </c>
      <c r="I584" s="29">
        <f t="shared" si="310"/>
        <v>20000</v>
      </c>
      <c r="M584" s="258"/>
      <c r="N584" s="258"/>
      <c r="O584" s="162"/>
      <c r="AE584" s="54"/>
      <c r="AF584" s="54"/>
    </row>
    <row r="585" spans="1:32">
      <c r="A585" s="144">
        <v>569</v>
      </c>
      <c r="B585" s="143" t="s">
        <v>21</v>
      </c>
      <c r="C585" s="34">
        <v>951</v>
      </c>
      <c r="D585" s="34" t="s">
        <v>166</v>
      </c>
      <c r="E585" s="34" t="s">
        <v>206</v>
      </c>
      <c r="F585" s="144">
        <v>240</v>
      </c>
      <c r="G585" s="134">
        <v>20000</v>
      </c>
      <c r="H585" s="134">
        <v>20000</v>
      </c>
      <c r="I585" s="157">
        <v>20000</v>
      </c>
      <c r="M585" s="258"/>
      <c r="N585" s="258"/>
      <c r="O585" s="162"/>
      <c r="AE585" s="54"/>
      <c r="AF585" s="54"/>
    </row>
    <row r="586" spans="1:32" ht="33.75" customHeight="1">
      <c r="A586" s="144">
        <v>570</v>
      </c>
      <c r="B586" s="320" t="s">
        <v>236</v>
      </c>
      <c r="C586" s="302">
        <v>952</v>
      </c>
      <c r="D586" s="302" t="s">
        <v>114</v>
      </c>
      <c r="E586" s="302"/>
      <c r="F586" s="303"/>
      <c r="G586" s="304">
        <f>G587+G617+G670</f>
        <v>145602760.88999999</v>
      </c>
      <c r="H586" s="304">
        <f t="shared" ref="H586:I586" si="311">H587+H617+H670</f>
        <v>132060750.88999999</v>
      </c>
      <c r="I586" s="46">
        <f t="shared" si="311"/>
        <v>108352940.58000001</v>
      </c>
      <c r="M586" s="258"/>
      <c r="N586" s="258"/>
      <c r="O586" s="162"/>
      <c r="AE586" s="54"/>
      <c r="AF586" s="54"/>
    </row>
    <row r="587" spans="1:32">
      <c r="A587" s="144">
        <v>571</v>
      </c>
      <c r="B587" s="305" t="s">
        <v>113</v>
      </c>
      <c r="C587" s="34">
        <v>952</v>
      </c>
      <c r="D587" s="34" t="s">
        <v>114</v>
      </c>
      <c r="E587" s="34"/>
      <c r="F587" s="144"/>
      <c r="G587" s="134">
        <f>G588+G597</f>
        <v>55961384.409999996</v>
      </c>
      <c r="H587" s="134">
        <f>H588+H597</f>
        <v>47958781.410000004</v>
      </c>
      <c r="I587" s="35">
        <f>I588+I597</f>
        <v>47958781.410000004</v>
      </c>
      <c r="M587" s="258"/>
      <c r="N587" s="258"/>
      <c r="O587" s="162"/>
      <c r="AE587" s="54"/>
      <c r="AF587" s="54"/>
    </row>
    <row r="588" spans="1:32">
      <c r="A588" s="144">
        <v>572</v>
      </c>
      <c r="B588" s="306" t="s">
        <v>158</v>
      </c>
      <c r="C588" s="34">
        <v>952</v>
      </c>
      <c r="D588" s="34" t="s">
        <v>167</v>
      </c>
      <c r="E588" s="34"/>
      <c r="F588" s="144"/>
      <c r="G588" s="134">
        <f t="shared" ref="G588:I591" si="312">G589</f>
        <v>45971975.210000001</v>
      </c>
      <c r="H588" s="134">
        <f t="shared" si="312"/>
        <v>39840204.210000001</v>
      </c>
      <c r="I588" s="35">
        <f t="shared" si="312"/>
        <v>39840204.210000001</v>
      </c>
      <c r="M588" s="258"/>
      <c r="N588" s="258"/>
      <c r="O588" s="162"/>
      <c r="AE588" s="54"/>
      <c r="AF588" s="54"/>
    </row>
    <row r="589" spans="1:32">
      <c r="A589" s="144">
        <v>573</v>
      </c>
      <c r="B589" s="306" t="s">
        <v>316</v>
      </c>
      <c r="C589" s="34">
        <v>952</v>
      </c>
      <c r="D589" s="34" t="s">
        <v>167</v>
      </c>
      <c r="E589" s="34" t="s">
        <v>189</v>
      </c>
      <c r="F589" s="144"/>
      <c r="G589" s="134">
        <f t="shared" si="312"/>
        <v>45971975.210000001</v>
      </c>
      <c r="H589" s="134">
        <f t="shared" si="312"/>
        <v>39840204.210000001</v>
      </c>
      <c r="I589" s="35">
        <f t="shared" si="312"/>
        <v>39840204.210000001</v>
      </c>
      <c r="M589" s="258"/>
      <c r="N589" s="258"/>
      <c r="O589" s="162"/>
      <c r="AE589" s="54"/>
      <c r="AF589" s="54"/>
    </row>
    <row r="590" spans="1:32">
      <c r="A590" s="144">
        <v>574</v>
      </c>
      <c r="B590" s="306" t="s">
        <v>66</v>
      </c>
      <c r="C590" s="34">
        <v>952</v>
      </c>
      <c r="D590" s="34" t="s">
        <v>167</v>
      </c>
      <c r="E590" s="34" t="s">
        <v>208</v>
      </c>
      <c r="F590" s="144"/>
      <c r="G590" s="134">
        <f>G591+G594</f>
        <v>45971975.210000001</v>
      </c>
      <c r="H590" s="134">
        <f t="shared" ref="H590:I590" si="313">H591+H594</f>
        <v>39840204.210000001</v>
      </c>
      <c r="I590" s="29">
        <f t="shared" si="313"/>
        <v>39840204.210000001</v>
      </c>
      <c r="M590" s="258"/>
      <c r="N590" s="258"/>
      <c r="O590" s="162"/>
      <c r="AE590" s="54"/>
      <c r="AF590" s="54"/>
    </row>
    <row r="591" spans="1:32" ht="45">
      <c r="A591" s="144">
        <v>575</v>
      </c>
      <c r="B591" s="306" t="s">
        <v>344</v>
      </c>
      <c r="C591" s="34">
        <v>952</v>
      </c>
      <c r="D591" s="34" t="s">
        <v>167</v>
      </c>
      <c r="E591" s="34" t="s">
        <v>209</v>
      </c>
      <c r="F591" s="144"/>
      <c r="G591" s="134">
        <f t="shared" si="312"/>
        <v>42251065.210000001</v>
      </c>
      <c r="H591" s="134">
        <f t="shared" si="312"/>
        <v>39840204.210000001</v>
      </c>
      <c r="I591" s="29">
        <f t="shared" si="312"/>
        <v>39840204.210000001</v>
      </c>
      <c r="M591" s="258"/>
      <c r="N591" s="258"/>
      <c r="O591" s="162"/>
      <c r="AE591" s="54"/>
      <c r="AF591" s="54"/>
    </row>
    <row r="592" spans="1:32" ht="30">
      <c r="A592" s="144">
        <v>576</v>
      </c>
      <c r="B592" s="143" t="s">
        <v>49</v>
      </c>
      <c r="C592" s="34">
        <v>952</v>
      </c>
      <c r="D592" s="34" t="s">
        <v>167</v>
      </c>
      <c r="E592" s="34" t="s">
        <v>209</v>
      </c>
      <c r="F592" s="144">
        <v>600</v>
      </c>
      <c r="G592" s="134">
        <f t="shared" ref="G592" si="314">G593</f>
        <v>42251065.210000001</v>
      </c>
      <c r="H592" s="134">
        <f t="shared" ref="H592:I592" si="315">H593</f>
        <v>39840204.210000001</v>
      </c>
      <c r="I592" s="29">
        <f t="shared" si="315"/>
        <v>39840204.210000001</v>
      </c>
      <c r="M592" s="258"/>
      <c r="N592" s="258"/>
      <c r="O592" s="162"/>
      <c r="AE592" s="54"/>
      <c r="AF592" s="54"/>
    </row>
    <row r="593" spans="1:32">
      <c r="A593" s="144">
        <v>577</v>
      </c>
      <c r="B593" s="143" t="s">
        <v>67</v>
      </c>
      <c r="C593" s="34">
        <v>952</v>
      </c>
      <c r="D593" s="34" t="s">
        <v>167</v>
      </c>
      <c r="E593" s="34" t="s">
        <v>209</v>
      </c>
      <c r="F593" s="144">
        <v>610</v>
      </c>
      <c r="G593" s="134">
        <f>39840204.21+2410861</f>
        <v>42251065.210000001</v>
      </c>
      <c r="H593" s="134">
        <v>39840204.210000001</v>
      </c>
      <c r="I593" s="157">
        <v>39840204.210000001</v>
      </c>
      <c r="M593" s="258"/>
      <c r="N593" s="258"/>
      <c r="O593" s="162"/>
      <c r="AE593" s="54"/>
      <c r="AF593" s="54"/>
    </row>
    <row r="594" spans="1:32" ht="60">
      <c r="A594" s="144">
        <v>578</v>
      </c>
      <c r="B594" s="307" t="s">
        <v>585</v>
      </c>
      <c r="C594" s="34" t="s">
        <v>304</v>
      </c>
      <c r="D594" s="34" t="s">
        <v>167</v>
      </c>
      <c r="E594" s="34" t="s">
        <v>465</v>
      </c>
      <c r="F594" s="144"/>
      <c r="G594" s="134">
        <f>G595</f>
        <v>3720910</v>
      </c>
      <c r="H594" s="134">
        <f t="shared" ref="H594:I595" si="316">H595</f>
        <v>0</v>
      </c>
      <c r="I594" s="29">
        <f t="shared" si="316"/>
        <v>0</v>
      </c>
      <c r="M594" s="258"/>
      <c r="N594" s="258"/>
      <c r="O594" s="162"/>
      <c r="AE594" s="54"/>
      <c r="AF594" s="54"/>
    </row>
    <row r="595" spans="1:32" ht="30">
      <c r="A595" s="144">
        <v>579</v>
      </c>
      <c r="B595" s="143" t="s">
        <v>49</v>
      </c>
      <c r="C595" s="34" t="s">
        <v>304</v>
      </c>
      <c r="D595" s="34" t="s">
        <v>167</v>
      </c>
      <c r="E595" s="34" t="s">
        <v>465</v>
      </c>
      <c r="F595" s="144">
        <v>600</v>
      </c>
      <c r="G595" s="134">
        <f>G596</f>
        <v>3720910</v>
      </c>
      <c r="H595" s="134">
        <f t="shared" si="316"/>
        <v>0</v>
      </c>
      <c r="I595" s="29">
        <f t="shared" si="316"/>
        <v>0</v>
      </c>
      <c r="M595" s="258"/>
      <c r="N595" s="258"/>
      <c r="O595" s="162"/>
      <c r="AE595" s="54"/>
      <c r="AF595" s="54"/>
    </row>
    <row r="596" spans="1:32">
      <c r="A596" s="144">
        <v>580</v>
      </c>
      <c r="B596" s="143" t="s">
        <v>67</v>
      </c>
      <c r="C596" s="34" t="s">
        <v>304</v>
      </c>
      <c r="D596" s="34" t="s">
        <v>167</v>
      </c>
      <c r="E596" s="34" t="s">
        <v>465</v>
      </c>
      <c r="F596" s="144">
        <v>610</v>
      </c>
      <c r="G596" s="134">
        <f>4163600+94410-479900-35478-21722</f>
        <v>3720910</v>
      </c>
      <c r="H596" s="134">
        <v>0</v>
      </c>
      <c r="I596" s="157">
        <v>0</v>
      </c>
      <c r="J596" s="276"/>
      <c r="M596" s="258"/>
      <c r="N596" s="258"/>
      <c r="O596" s="162"/>
      <c r="AE596" s="54"/>
      <c r="AF596" s="54"/>
    </row>
    <row r="597" spans="1:32" s="54" customFormat="1">
      <c r="A597" s="144">
        <v>581</v>
      </c>
      <c r="B597" s="143" t="s">
        <v>71</v>
      </c>
      <c r="C597" s="34">
        <v>952</v>
      </c>
      <c r="D597" s="34" t="s">
        <v>118</v>
      </c>
      <c r="E597" s="34"/>
      <c r="F597" s="144"/>
      <c r="G597" s="134">
        <f t="shared" ref="G597:I601" si="317">G598</f>
        <v>9989409.1999999993</v>
      </c>
      <c r="H597" s="134">
        <f t="shared" si="317"/>
        <v>8118577.2000000002</v>
      </c>
      <c r="I597" s="29">
        <f t="shared" si="317"/>
        <v>8118577.2000000002</v>
      </c>
      <c r="M597" s="258"/>
      <c r="N597" s="258"/>
      <c r="O597" s="162"/>
    </row>
    <row r="598" spans="1:32">
      <c r="A598" s="144">
        <v>582</v>
      </c>
      <c r="B598" s="306" t="s">
        <v>72</v>
      </c>
      <c r="C598" s="34">
        <v>952</v>
      </c>
      <c r="D598" s="34" t="s">
        <v>118</v>
      </c>
      <c r="E598" s="34" t="s">
        <v>210</v>
      </c>
      <c r="F598" s="144"/>
      <c r="G598" s="134">
        <f>G599+G606+G613</f>
        <v>9989409.1999999993</v>
      </c>
      <c r="H598" s="134">
        <f>H599+H606+H613</f>
        <v>8118577.2000000002</v>
      </c>
      <c r="I598" s="29">
        <f>I599+I606+I613</f>
        <v>8118577.2000000002</v>
      </c>
      <c r="M598" s="258"/>
      <c r="N598" s="258"/>
      <c r="O598" s="162"/>
      <c r="AE598" s="54"/>
      <c r="AF598" s="54"/>
    </row>
    <row r="599" spans="1:32">
      <c r="A599" s="144">
        <v>583</v>
      </c>
      <c r="B599" s="306" t="s">
        <v>301</v>
      </c>
      <c r="C599" s="34">
        <v>952</v>
      </c>
      <c r="D599" s="34" t="s">
        <v>118</v>
      </c>
      <c r="E599" s="34" t="s">
        <v>241</v>
      </c>
      <c r="F599" s="144"/>
      <c r="G599" s="134">
        <f>G600+G603</f>
        <v>9624809.1999999993</v>
      </c>
      <c r="H599" s="134">
        <f t="shared" ref="H599:I599" si="318">H600+H603</f>
        <v>7953977.2000000002</v>
      </c>
      <c r="I599" s="29">
        <f t="shared" si="318"/>
        <v>7953977.2000000002</v>
      </c>
      <c r="M599" s="258"/>
      <c r="N599" s="258"/>
      <c r="O599" s="162"/>
      <c r="AE599" s="54"/>
      <c r="AF599" s="54"/>
    </row>
    <row r="600" spans="1:32" ht="45">
      <c r="A600" s="144">
        <v>584</v>
      </c>
      <c r="B600" s="306" t="s">
        <v>345</v>
      </c>
      <c r="C600" s="34">
        <v>952</v>
      </c>
      <c r="D600" s="34" t="s">
        <v>118</v>
      </c>
      <c r="E600" s="34" t="s">
        <v>302</v>
      </c>
      <c r="F600" s="144"/>
      <c r="G600" s="134">
        <f t="shared" si="317"/>
        <v>9121409.1999999993</v>
      </c>
      <c r="H600" s="134">
        <f t="shared" si="317"/>
        <v>7450577.2000000002</v>
      </c>
      <c r="I600" s="29">
        <f t="shared" si="317"/>
        <v>7450577.2000000002</v>
      </c>
      <c r="M600" s="258"/>
      <c r="N600" s="258"/>
      <c r="O600" s="162"/>
      <c r="AE600" s="54"/>
      <c r="AF600" s="54"/>
    </row>
    <row r="601" spans="1:32" ht="30">
      <c r="A601" s="144">
        <v>585</v>
      </c>
      <c r="B601" s="143" t="s">
        <v>49</v>
      </c>
      <c r="C601" s="34">
        <v>952</v>
      </c>
      <c r="D601" s="34" t="s">
        <v>118</v>
      </c>
      <c r="E601" s="34" t="s">
        <v>302</v>
      </c>
      <c r="F601" s="144">
        <v>600</v>
      </c>
      <c r="G601" s="134">
        <f t="shared" ref="G601" si="319">G602</f>
        <v>9121409.1999999993</v>
      </c>
      <c r="H601" s="134">
        <f t="shared" si="317"/>
        <v>7450577.2000000002</v>
      </c>
      <c r="I601" s="29">
        <f t="shared" si="317"/>
        <v>7450577.2000000002</v>
      </c>
      <c r="J601" s="276"/>
      <c r="M601" s="258"/>
      <c r="N601" s="258"/>
      <c r="O601" s="162"/>
      <c r="AE601" s="54"/>
      <c r="AF601" s="54"/>
    </row>
    <row r="602" spans="1:32">
      <c r="A602" s="144">
        <v>586</v>
      </c>
      <c r="B602" s="143" t="s">
        <v>67</v>
      </c>
      <c r="C602" s="34">
        <v>952</v>
      </c>
      <c r="D602" s="34" t="s">
        <v>118</v>
      </c>
      <c r="E602" s="34" t="s">
        <v>302</v>
      </c>
      <c r="F602" s="144">
        <v>610</v>
      </c>
      <c r="G602" s="134">
        <f>7450577.2+303730+772500+594602</f>
        <v>9121409.1999999993</v>
      </c>
      <c r="H602" s="134">
        <v>7450577.2000000002</v>
      </c>
      <c r="I602" s="157">
        <v>7450577.2000000002</v>
      </c>
      <c r="J602" s="246"/>
      <c r="M602" s="258"/>
      <c r="N602" s="258"/>
      <c r="O602" s="162"/>
      <c r="AE602" s="54"/>
      <c r="AF602" s="54"/>
    </row>
    <row r="603" spans="1:32" s="54" customFormat="1" ht="45">
      <c r="A603" s="144">
        <v>587</v>
      </c>
      <c r="B603" s="315" t="s">
        <v>360</v>
      </c>
      <c r="C603" s="34">
        <v>952</v>
      </c>
      <c r="D603" s="34" t="s">
        <v>118</v>
      </c>
      <c r="E603" s="34" t="s">
        <v>303</v>
      </c>
      <c r="F603" s="144"/>
      <c r="G603" s="134">
        <f t="shared" ref="G603:I604" si="320">G604</f>
        <v>503400</v>
      </c>
      <c r="H603" s="134">
        <f t="shared" si="320"/>
        <v>503400</v>
      </c>
      <c r="I603" s="29">
        <f t="shared" si="320"/>
        <v>503400</v>
      </c>
      <c r="M603" s="258"/>
      <c r="N603" s="258"/>
      <c r="O603" s="162"/>
    </row>
    <row r="604" spans="1:32" s="54" customFormat="1" ht="30">
      <c r="A604" s="144">
        <v>588</v>
      </c>
      <c r="B604" s="143" t="s">
        <v>49</v>
      </c>
      <c r="C604" s="34">
        <v>952</v>
      </c>
      <c r="D604" s="34" t="s">
        <v>118</v>
      </c>
      <c r="E604" s="34" t="s">
        <v>303</v>
      </c>
      <c r="F604" s="144">
        <v>600</v>
      </c>
      <c r="G604" s="134">
        <f t="shared" ref="G604" si="321">G605</f>
        <v>503400</v>
      </c>
      <c r="H604" s="134">
        <f t="shared" si="320"/>
        <v>503400</v>
      </c>
      <c r="I604" s="29">
        <f t="shared" si="320"/>
        <v>503400</v>
      </c>
      <c r="M604" s="258"/>
      <c r="N604" s="258"/>
      <c r="O604" s="162"/>
    </row>
    <row r="605" spans="1:32" s="54" customFormat="1">
      <c r="A605" s="144">
        <v>589</v>
      </c>
      <c r="B605" s="143" t="s">
        <v>67</v>
      </c>
      <c r="C605" s="34">
        <v>952</v>
      </c>
      <c r="D605" s="34" t="s">
        <v>118</v>
      </c>
      <c r="E605" s="34" t="s">
        <v>303</v>
      </c>
      <c r="F605" s="144">
        <v>610</v>
      </c>
      <c r="G605" s="134">
        <f>422800+80600</f>
        <v>503400</v>
      </c>
      <c r="H605" s="134">
        <f>422800+80600</f>
        <v>503400</v>
      </c>
      <c r="I605" s="157">
        <f>422800+80600</f>
        <v>503400</v>
      </c>
      <c r="M605" s="258"/>
      <c r="N605" s="258"/>
      <c r="O605" s="162"/>
    </row>
    <row r="606" spans="1:32">
      <c r="A606" s="144">
        <v>590</v>
      </c>
      <c r="B606" s="307" t="s">
        <v>307</v>
      </c>
      <c r="C606" s="34" t="s">
        <v>304</v>
      </c>
      <c r="D606" s="34" t="s">
        <v>118</v>
      </c>
      <c r="E606" s="34" t="s">
        <v>211</v>
      </c>
      <c r="F606" s="144"/>
      <c r="G606" s="134">
        <f>G607+G610</f>
        <v>294600</v>
      </c>
      <c r="H606" s="134">
        <f t="shared" ref="H606:I606" si="322">H607+H610</f>
        <v>94600</v>
      </c>
      <c r="I606" s="29">
        <f t="shared" si="322"/>
        <v>94600</v>
      </c>
      <c r="M606" s="258"/>
      <c r="N606" s="258"/>
      <c r="O606" s="162"/>
      <c r="AE606" s="54"/>
      <c r="AF606" s="54"/>
    </row>
    <row r="607" spans="1:32" ht="45">
      <c r="A607" s="144">
        <v>591</v>
      </c>
      <c r="B607" s="307" t="s">
        <v>346</v>
      </c>
      <c r="C607" s="34" t="s">
        <v>304</v>
      </c>
      <c r="D607" s="34" t="s">
        <v>118</v>
      </c>
      <c r="E607" s="34" t="s">
        <v>305</v>
      </c>
      <c r="F607" s="144"/>
      <c r="G607" s="134">
        <f t="shared" ref="G607:I608" si="323">G608</f>
        <v>72600</v>
      </c>
      <c r="H607" s="134">
        <f t="shared" si="323"/>
        <v>72600</v>
      </c>
      <c r="I607" s="29">
        <f t="shared" si="323"/>
        <v>72600</v>
      </c>
      <c r="M607" s="258"/>
      <c r="N607" s="258"/>
      <c r="O607" s="162"/>
      <c r="AE607" s="54"/>
      <c r="AF607" s="54"/>
    </row>
    <row r="608" spans="1:32" ht="30">
      <c r="A608" s="144">
        <v>592</v>
      </c>
      <c r="B608" s="143" t="s">
        <v>49</v>
      </c>
      <c r="C608" s="34" t="s">
        <v>304</v>
      </c>
      <c r="D608" s="34" t="s">
        <v>118</v>
      </c>
      <c r="E608" s="34" t="s">
        <v>305</v>
      </c>
      <c r="F608" s="144">
        <v>600</v>
      </c>
      <c r="G608" s="134">
        <f t="shared" si="323"/>
        <v>72600</v>
      </c>
      <c r="H608" s="134">
        <f t="shared" si="323"/>
        <v>72600</v>
      </c>
      <c r="I608" s="29">
        <f t="shared" si="323"/>
        <v>72600</v>
      </c>
      <c r="M608" s="258"/>
      <c r="N608" s="258"/>
      <c r="O608" s="162"/>
      <c r="AE608" s="54"/>
      <c r="AF608" s="54"/>
    </row>
    <row r="609" spans="1:32">
      <c r="A609" s="144">
        <v>593</v>
      </c>
      <c r="B609" s="143" t="s">
        <v>67</v>
      </c>
      <c r="C609" s="34" t="s">
        <v>304</v>
      </c>
      <c r="D609" s="34" t="s">
        <v>118</v>
      </c>
      <c r="E609" s="34" t="s">
        <v>305</v>
      </c>
      <c r="F609" s="144">
        <v>610</v>
      </c>
      <c r="G609" s="134">
        <v>72600</v>
      </c>
      <c r="H609" s="134">
        <v>72600</v>
      </c>
      <c r="I609" s="157">
        <v>72600</v>
      </c>
      <c r="M609" s="258"/>
      <c r="N609" s="258"/>
      <c r="O609" s="162"/>
      <c r="AE609" s="54"/>
      <c r="AF609" s="54"/>
    </row>
    <row r="610" spans="1:32" ht="46.5" customHeight="1">
      <c r="A610" s="144">
        <v>594</v>
      </c>
      <c r="B610" s="143" t="s">
        <v>426</v>
      </c>
      <c r="C610" s="34" t="s">
        <v>304</v>
      </c>
      <c r="D610" s="34" t="s">
        <v>118</v>
      </c>
      <c r="E610" s="34" t="s">
        <v>425</v>
      </c>
      <c r="F610" s="144"/>
      <c r="G610" s="134">
        <f t="shared" ref="G610:I611" si="324">G611</f>
        <v>222000</v>
      </c>
      <c r="H610" s="134">
        <f t="shared" si="324"/>
        <v>22000</v>
      </c>
      <c r="I610" s="29">
        <f t="shared" si="324"/>
        <v>22000</v>
      </c>
      <c r="M610" s="258"/>
      <c r="N610" s="258"/>
      <c r="O610" s="162"/>
      <c r="AE610" s="54"/>
      <c r="AF610" s="54"/>
    </row>
    <row r="611" spans="1:32" ht="30">
      <c r="A611" s="144">
        <v>595</v>
      </c>
      <c r="B611" s="143" t="s">
        <v>49</v>
      </c>
      <c r="C611" s="34" t="s">
        <v>304</v>
      </c>
      <c r="D611" s="34" t="s">
        <v>118</v>
      </c>
      <c r="E611" s="34" t="s">
        <v>425</v>
      </c>
      <c r="F611" s="144">
        <v>600</v>
      </c>
      <c r="G611" s="134">
        <f t="shared" si="324"/>
        <v>222000</v>
      </c>
      <c r="H611" s="134">
        <f t="shared" si="324"/>
        <v>22000</v>
      </c>
      <c r="I611" s="29">
        <f t="shared" si="324"/>
        <v>22000</v>
      </c>
      <c r="M611" s="258"/>
      <c r="N611" s="258"/>
      <c r="O611" s="162"/>
      <c r="AE611" s="54"/>
      <c r="AF611" s="54"/>
    </row>
    <row r="612" spans="1:32">
      <c r="A612" s="144">
        <v>596</v>
      </c>
      <c r="B612" s="143" t="s">
        <v>67</v>
      </c>
      <c r="C612" s="34" t="s">
        <v>304</v>
      </c>
      <c r="D612" s="34" t="s">
        <v>118</v>
      </c>
      <c r="E612" s="34" t="s">
        <v>425</v>
      </c>
      <c r="F612" s="144">
        <v>610</v>
      </c>
      <c r="G612" s="134">
        <f>22000+200000</f>
        <v>222000</v>
      </c>
      <c r="H612" s="134">
        <v>22000</v>
      </c>
      <c r="I612" s="157">
        <v>22000</v>
      </c>
      <c r="J612" s="246"/>
      <c r="M612" s="258"/>
      <c r="N612" s="258"/>
      <c r="O612" s="162"/>
      <c r="AE612" s="54"/>
      <c r="AF612" s="54"/>
    </row>
    <row r="613" spans="1:32" ht="30">
      <c r="A613" s="144">
        <v>597</v>
      </c>
      <c r="B613" s="307" t="s">
        <v>318</v>
      </c>
      <c r="C613" s="34" t="s">
        <v>304</v>
      </c>
      <c r="D613" s="34" t="s">
        <v>118</v>
      </c>
      <c r="E613" s="34" t="s">
        <v>242</v>
      </c>
      <c r="F613" s="144"/>
      <c r="G613" s="134">
        <f t="shared" ref="G613:I615" si="325">G614</f>
        <v>70000</v>
      </c>
      <c r="H613" s="134">
        <f t="shared" si="325"/>
        <v>70000</v>
      </c>
      <c r="I613" s="29">
        <f t="shared" si="325"/>
        <v>70000</v>
      </c>
      <c r="M613" s="258"/>
      <c r="N613" s="258"/>
      <c r="O613" s="162"/>
      <c r="AE613" s="54"/>
      <c r="AF613" s="54"/>
    </row>
    <row r="614" spans="1:32" ht="90.75" customHeight="1">
      <c r="A614" s="144">
        <v>598</v>
      </c>
      <c r="B614" s="307" t="s">
        <v>347</v>
      </c>
      <c r="C614" s="34" t="s">
        <v>304</v>
      </c>
      <c r="D614" s="34" t="s">
        <v>118</v>
      </c>
      <c r="E614" s="34" t="s">
        <v>306</v>
      </c>
      <c r="F614" s="144"/>
      <c r="G614" s="134">
        <f t="shared" si="325"/>
        <v>70000</v>
      </c>
      <c r="H614" s="134">
        <f t="shared" si="325"/>
        <v>70000</v>
      </c>
      <c r="I614" s="29">
        <f t="shared" si="325"/>
        <v>70000</v>
      </c>
      <c r="M614" s="258"/>
      <c r="N614" s="258"/>
      <c r="O614" s="162"/>
      <c r="AE614" s="54"/>
      <c r="AF614" s="54"/>
    </row>
    <row r="615" spans="1:32" ht="30">
      <c r="A615" s="144">
        <v>599</v>
      </c>
      <c r="B615" s="143" t="s">
        <v>49</v>
      </c>
      <c r="C615" s="34" t="s">
        <v>304</v>
      </c>
      <c r="D615" s="34" t="s">
        <v>118</v>
      </c>
      <c r="E615" s="34" t="s">
        <v>306</v>
      </c>
      <c r="F615" s="144">
        <v>600</v>
      </c>
      <c r="G615" s="134">
        <f t="shared" si="325"/>
        <v>70000</v>
      </c>
      <c r="H615" s="134">
        <f t="shared" si="325"/>
        <v>70000</v>
      </c>
      <c r="I615" s="29">
        <f t="shared" si="325"/>
        <v>70000</v>
      </c>
      <c r="M615" s="258"/>
      <c r="N615" s="258"/>
      <c r="O615" s="162"/>
      <c r="AE615" s="54"/>
      <c r="AF615" s="54"/>
    </row>
    <row r="616" spans="1:32">
      <c r="A616" s="144">
        <v>600</v>
      </c>
      <c r="B616" s="143" t="s">
        <v>67</v>
      </c>
      <c r="C616" s="34" t="s">
        <v>304</v>
      </c>
      <c r="D616" s="34" t="s">
        <v>118</v>
      </c>
      <c r="E616" s="34" t="s">
        <v>306</v>
      </c>
      <c r="F616" s="144">
        <v>610</v>
      </c>
      <c r="G616" s="134">
        <v>70000</v>
      </c>
      <c r="H616" s="134">
        <v>70000</v>
      </c>
      <c r="I616" s="157">
        <v>70000</v>
      </c>
      <c r="M616" s="258"/>
      <c r="N616" s="258"/>
      <c r="O616" s="162"/>
      <c r="AE616" s="54"/>
      <c r="AF616" s="54"/>
    </row>
    <row r="617" spans="1:32">
      <c r="A617" s="144">
        <v>601</v>
      </c>
      <c r="B617" s="305" t="s">
        <v>120</v>
      </c>
      <c r="C617" s="34">
        <v>952</v>
      </c>
      <c r="D617" s="34" t="s">
        <v>121</v>
      </c>
      <c r="E617" s="34"/>
      <c r="F617" s="144"/>
      <c r="G617" s="134">
        <f>G618+G656</f>
        <v>89521376.479999989</v>
      </c>
      <c r="H617" s="134">
        <f>H618+H656</f>
        <v>83981969.479999989</v>
      </c>
      <c r="I617" s="29">
        <f>I618+I656</f>
        <v>60274159.170000002</v>
      </c>
      <c r="M617" s="258"/>
      <c r="N617" s="258"/>
      <c r="O617" s="162"/>
      <c r="AE617" s="54"/>
      <c r="AF617" s="54"/>
    </row>
    <row r="618" spans="1:32">
      <c r="A618" s="144">
        <v>602</v>
      </c>
      <c r="B618" s="314" t="s">
        <v>68</v>
      </c>
      <c r="C618" s="34">
        <v>952</v>
      </c>
      <c r="D618" s="34" t="s">
        <v>122</v>
      </c>
      <c r="E618" s="34"/>
      <c r="F618" s="144"/>
      <c r="G618" s="134">
        <f t="shared" ref="G618:I618" si="326">G619</f>
        <v>84710988.239999995</v>
      </c>
      <c r="H618" s="134">
        <f t="shared" si="326"/>
        <v>79521639.239999995</v>
      </c>
      <c r="I618" s="29">
        <f t="shared" si="326"/>
        <v>55813828.93</v>
      </c>
      <c r="M618" s="258"/>
      <c r="N618" s="258"/>
      <c r="O618" s="162"/>
      <c r="AE618" s="54"/>
      <c r="AF618" s="54"/>
    </row>
    <row r="619" spans="1:32">
      <c r="A619" s="144">
        <v>603</v>
      </c>
      <c r="B619" s="306" t="s">
        <v>316</v>
      </c>
      <c r="C619" s="34">
        <v>952</v>
      </c>
      <c r="D619" s="34" t="s">
        <v>122</v>
      </c>
      <c r="E619" s="34" t="s">
        <v>189</v>
      </c>
      <c r="F619" s="144"/>
      <c r="G619" s="134">
        <f>G620+G627+G634</f>
        <v>84710988.239999995</v>
      </c>
      <c r="H619" s="134">
        <f>H620+H627+H634</f>
        <v>79521639.239999995</v>
      </c>
      <c r="I619" s="29">
        <f>I620+I627+I634</f>
        <v>55813828.93</v>
      </c>
      <c r="M619" s="258"/>
      <c r="N619" s="258"/>
      <c r="O619" s="162"/>
      <c r="AE619" s="54"/>
      <c r="AF619" s="54"/>
    </row>
    <row r="620" spans="1:32">
      <c r="A620" s="144">
        <v>604</v>
      </c>
      <c r="B620" s="306" t="s">
        <v>69</v>
      </c>
      <c r="C620" s="34">
        <v>952</v>
      </c>
      <c r="D620" s="34" t="s">
        <v>122</v>
      </c>
      <c r="E620" s="34" t="s">
        <v>212</v>
      </c>
      <c r="F620" s="144"/>
      <c r="G620" s="134">
        <f t="shared" ref="G620" si="327">G621+G624</f>
        <v>32042543.719999999</v>
      </c>
      <c r="H620" s="134">
        <f t="shared" ref="H620:I620" si="328">H621+H624</f>
        <v>30117191.719999999</v>
      </c>
      <c r="I620" s="29">
        <f t="shared" si="328"/>
        <v>30115691.719999999</v>
      </c>
      <c r="M620" s="258"/>
      <c r="N620" s="258"/>
      <c r="O620" s="162"/>
      <c r="AE620" s="54"/>
      <c r="AF620" s="54"/>
    </row>
    <row r="621" spans="1:32" ht="45">
      <c r="A621" s="144">
        <v>605</v>
      </c>
      <c r="B621" s="324" t="s">
        <v>348</v>
      </c>
      <c r="C621" s="34">
        <v>952</v>
      </c>
      <c r="D621" s="34" t="s">
        <v>122</v>
      </c>
      <c r="E621" s="34" t="s">
        <v>213</v>
      </c>
      <c r="F621" s="144"/>
      <c r="G621" s="134">
        <f t="shared" ref="G621:I622" si="329">G622</f>
        <v>26753962.719999999</v>
      </c>
      <c r="H621" s="134">
        <f t="shared" si="329"/>
        <v>25163980.719999999</v>
      </c>
      <c r="I621" s="29">
        <f t="shared" si="329"/>
        <v>25162480.719999999</v>
      </c>
      <c r="M621" s="258"/>
      <c r="N621" s="258"/>
      <c r="O621" s="162"/>
      <c r="AE621" s="54"/>
      <c r="AF621" s="54"/>
    </row>
    <row r="622" spans="1:32" ht="30">
      <c r="A622" s="144">
        <v>606</v>
      </c>
      <c r="B622" s="143" t="s">
        <v>49</v>
      </c>
      <c r="C622" s="34">
        <v>952</v>
      </c>
      <c r="D622" s="34" t="s">
        <v>122</v>
      </c>
      <c r="E622" s="34" t="s">
        <v>213</v>
      </c>
      <c r="F622" s="144">
        <v>600</v>
      </c>
      <c r="G622" s="134">
        <f t="shared" si="329"/>
        <v>26753962.719999999</v>
      </c>
      <c r="H622" s="134">
        <f t="shared" si="329"/>
        <v>25163980.719999999</v>
      </c>
      <c r="I622" s="29">
        <f t="shared" si="329"/>
        <v>25162480.719999999</v>
      </c>
      <c r="J622" s="276"/>
      <c r="M622" s="258"/>
      <c r="N622" s="258"/>
      <c r="O622" s="162"/>
      <c r="AE622" s="54"/>
      <c r="AF622" s="54"/>
    </row>
    <row r="623" spans="1:32">
      <c r="A623" s="144">
        <v>607</v>
      </c>
      <c r="B623" s="143" t="s">
        <v>67</v>
      </c>
      <c r="C623" s="34">
        <v>952</v>
      </c>
      <c r="D623" s="34" t="s">
        <v>122</v>
      </c>
      <c r="E623" s="34" t="s">
        <v>213</v>
      </c>
      <c r="F623" s="144">
        <v>610</v>
      </c>
      <c r="G623" s="134">
        <f>25164780.72+1771762-300-182280</f>
        <v>26753962.719999999</v>
      </c>
      <c r="H623" s="134">
        <f>25164780.72-800</f>
        <v>25163980.719999999</v>
      </c>
      <c r="I623" s="157">
        <f>25164780.72-2300</f>
        <v>25162480.719999999</v>
      </c>
      <c r="J623" s="263"/>
      <c r="M623" s="258"/>
      <c r="N623" s="258"/>
      <c r="O623" s="162"/>
      <c r="AE623" s="54"/>
      <c r="AF623" s="54"/>
    </row>
    <row r="624" spans="1:32" ht="30">
      <c r="A624" s="144">
        <v>608</v>
      </c>
      <c r="B624" s="324" t="s">
        <v>349</v>
      </c>
      <c r="C624" s="34">
        <v>952</v>
      </c>
      <c r="D624" s="34" t="s">
        <v>122</v>
      </c>
      <c r="E624" s="34" t="s">
        <v>214</v>
      </c>
      <c r="F624" s="144"/>
      <c r="G624" s="134">
        <f t="shared" ref="G624:I625" si="330">G625</f>
        <v>5288581</v>
      </c>
      <c r="H624" s="134">
        <f t="shared" si="330"/>
        <v>4953211</v>
      </c>
      <c r="I624" s="29">
        <f t="shared" si="330"/>
        <v>4953211</v>
      </c>
      <c r="M624" s="258"/>
      <c r="N624" s="258"/>
      <c r="O624" s="162"/>
      <c r="AE624" s="54"/>
      <c r="AF624" s="54"/>
    </row>
    <row r="625" spans="1:32" ht="30">
      <c r="A625" s="144">
        <v>609</v>
      </c>
      <c r="B625" s="143" t="s">
        <v>49</v>
      </c>
      <c r="C625" s="34">
        <v>952</v>
      </c>
      <c r="D625" s="34" t="s">
        <v>122</v>
      </c>
      <c r="E625" s="34" t="s">
        <v>214</v>
      </c>
      <c r="F625" s="144">
        <v>600</v>
      </c>
      <c r="G625" s="134">
        <f t="shared" si="330"/>
        <v>5288581</v>
      </c>
      <c r="H625" s="134">
        <f t="shared" si="330"/>
        <v>4953211</v>
      </c>
      <c r="I625" s="29">
        <f t="shared" si="330"/>
        <v>4953211</v>
      </c>
      <c r="M625" s="258"/>
      <c r="N625" s="258"/>
      <c r="O625" s="162"/>
      <c r="AE625" s="54"/>
      <c r="AF625" s="54"/>
    </row>
    <row r="626" spans="1:32">
      <c r="A626" s="144">
        <v>610</v>
      </c>
      <c r="B626" s="143" t="s">
        <v>67</v>
      </c>
      <c r="C626" s="34">
        <v>952</v>
      </c>
      <c r="D626" s="34" t="s">
        <v>122</v>
      </c>
      <c r="E626" s="34" t="s">
        <v>214</v>
      </c>
      <c r="F626" s="144">
        <v>610</v>
      </c>
      <c r="G626" s="134">
        <f>4953211+335370</f>
        <v>5288581</v>
      </c>
      <c r="H626" s="134">
        <v>4953211</v>
      </c>
      <c r="I626" s="157">
        <v>4953211</v>
      </c>
      <c r="M626" s="258"/>
      <c r="N626" s="258"/>
      <c r="O626" s="162"/>
      <c r="AE626" s="54"/>
      <c r="AF626" s="54"/>
    </row>
    <row r="627" spans="1:32">
      <c r="A627" s="144">
        <v>611</v>
      </c>
      <c r="B627" s="325" t="s">
        <v>70</v>
      </c>
      <c r="C627" s="34">
        <v>952</v>
      </c>
      <c r="D627" s="34" t="s">
        <v>122</v>
      </c>
      <c r="E627" s="34" t="s">
        <v>215</v>
      </c>
      <c r="F627" s="144"/>
      <c r="G627" s="134">
        <f>G628+G631</f>
        <v>51173774.519999996</v>
      </c>
      <c r="H627" s="134">
        <f t="shared" ref="H627:I627" si="331">H628+H631</f>
        <v>48906647.519999996</v>
      </c>
      <c r="I627" s="29">
        <f t="shared" si="331"/>
        <v>25201537.210000001</v>
      </c>
      <c r="M627" s="258"/>
      <c r="N627" s="258"/>
      <c r="O627" s="162"/>
      <c r="AE627" s="54"/>
      <c r="AF627" s="54"/>
    </row>
    <row r="628" spans="1:32" ht="45">
      <c r="A628" s="144">
        <v>612</v>
      </c>
      <c r="B628" s="324" t="s">
        <v>350</v>
      </c>
      <c r="C628" s="34">
        <v>952</v>
      </c>
      <c r="D628" s="34" t="s">
        <v>122</v>
      </c>
      <c r="E628" s="34" t="s">
        <v>216</v>
      </c>
      <c r="F628" s="144"/>
      <c r="G628" s="134">
        <f t="shared" ref="G628:I629" si="332">G629</f>
        <v>27373664.52</v>
      </c>
      <c r="H628" s="134">
        <f t="shared" si="332"/>
        <v>25201537.52</v>
      </c>
      <c r="I628" s="29">
        <f t="shared" si="332"/>
        <v>25201537.210000001</v>
      </c>
      <c r="M628" s="258"/>
      <c r="N628" s="258"/>
      <c r="O628" s="162"/>
      <c r="AE628" s="54"/>
      <c r="AF628" s="54"/>
    </row>
    <row r="629" spans="1:32" ht="30">
      <c r="A629" s="144">
        <v>613</v>
      </c>
      <c r="B629" s="143" t="s">
        <v>49</v>
      </c>
      <c r="C629" s="34">
        <v>952</v>
      </c>
      <c r="D629" s="34" t="s">
        <v>122</v>
      </c>
      <c r="E629" s="34" t="s">
        <v>216</v>
      </c>
      <c r="F629" s="144">
        <v>600</v>
      </c>
      <c r="G629" s="134">
        <f t="shared" si="332"/>
        <v>27373664.52</v>
      </c>
      <c r="H629" s="134">
        <f t="shared" si="332"/>
        <v>25201537.52</v>
      </c>
      <c r="I629" s="29">
        <f t="shared" si="332"/>
        <v>25201537.210000001</v>
      </c>
      <c r="M629" s="258"/>
      <c r="N629" s="258"/>
      <c r="O629" s="162"/>
      <c r="AE629" s="54"/>
      <c r="AF629" s="54"/>
    </row>
    <row r="630" spans="1:32">
      <c r="A630" s="144">
        <v>614</v>
      </c>
      <c r="B630" s="143" t="s">
        <v>67</v>
      </c>
      <c r="C630" s="34">
        <v>952</v>
      </c>
      <c r="D630" s="34" t="s">
        <v>122</v>
      </c>
      <c r="E630" s="34" t="s">
        <v>216</v>
      </c>
      <c r="F630" s="144">
        <v>610</v>
      </c>
      <c r="G630" s="134">
        <f>25201537.52+2562727-300000-90600</f>
        <v>27373664.52</v>
      </c>
      <c r="H630" s="134">
        <v>25201537.52</v>
      </c>
      <c r="I630" s="157">
        <v>25201537.210000001</v>
      </c>
      <c r="J630" s="276"/>
      <c r="M630" s="258"/>
      <c r="N630" s="258"/>
      <c r="O630" s="162"/>
      <c r="AE630" s="54"/>
      <c r="AF630" s="54"/>
    </row>
    <row r="631" spans="1:32" ht="45">
      <c r="A631" s="144">
        <v>615</v>
      </c>
      <c r="B631" s="324" t="s">
        <v>351</v>
      </c>
      <c r="C631" s="34">
        <v>952</v>
      </c>
      <c r="D631" s="34" t="s">
        <v>122</v>
      </c>
      <c r="E631" s="34" t="s">
        <v>217</v>
      </c>
      <c r="F631" s="144"/>
      <c r="G631" s="134">
        <f t="shared" ref="G631:I632" si="333">G632</f>
        <v>23800110</v>
      </c>
      <c r="H631" s="134">
        <f t="shared" si="333"/>
        <v>23705110</v>
      </c>
      <c r="I631" s="29">
        <f t="shared" si="333"/>
        <v>0</v>
      </c>
      <c r="M631" s="258"/>
      <c r="N631" s="258"/>
      <c r="O631" s="162"/>
      <c r="AE631" s="54"/>
      <c r="AF631" s="54"/>
    </row>
    <row r="632" spans="1:32" ht="30">
      <c r="A632" s="144">
        <v>616</v>
      </c>
      <c r="B632" s="143" t="s">
        <v>49</v>
      </c>
      <c r="C632" s="34">
        <v>952</v>
      </c>
      <c r="D632" s="34" t="s">
        <v>122</v>
      </c>
      <c r="E632" s="34" t="s">
        <v>217</v>
      </c>
      <c r="F632" s="144">
        <v>600</v>
      </c>
      <c r="G632" s="134">
        <f>G633</f>
        <v>23800110</v>
      </c>
      <c r="H632" s="134">
        <f t="shared" si="333"/>
        <v>23705110</v>
      </c>
      <c r="I632" s="29">
        <f t="shared" si="333"/>
        <v>0</v>
      </c>
      <c r="M632" s="258"/>
      <c r="N632" s="258"/>
      <c r="O632" s="162"/>
      <c r="AE632" s="54"/>
      <c r="AF632" s="54"/>
    </row>
    <row r="633" spans="1:32">
      <c r="A633" s="144">
        <v>617</v>
      </c>
      <c r="B633" s="143" t="s">
        <v>67</v>
      </c>
      <c r="C633" s="34">
        <v>952</v>
      </c>
      <c r="D633" s="34" t="s">
        <v>122</v>
      </c>
      <c r="E633" s="34" t="s">
        <v>217</v>
      </c>
      <c r="F633" s="144">
        <v>610</v>
      </c>
      <c r="G633" s="134">
        <v>23800110</v>
      </c>
      <c r="H633" s="134">
        <f>23800110-95000</f>
        <v>23705110</v>
      </c>
      <c r="I633" s="29">
        <v>0</v>
      </c>
      <c r="M633" s="258"/>
      <c r="N633" s="258"/>
      <c r="O633" s="162"/>
      <c r="AE633" s="54"/>
      <c r="AF633" s="54"/>
    </row>
    <row r="634" spans="1:32" ht="23.25" customHeight="1">
      <c r="A634" s="144">
        <v>618</v>
      </c>
      <c r="B634" s="306" t="s">
        <v>66</v>
      </c>
      <c r="C634" s="34">
        <v>952</v>
      </c>
      <c r="D634" s="34" t="s">
        <v>122</v>
      </c>
      <c r="E634" s="34" t="s">
        <v>208</v>
      </c>
      <c r="F634" s="144"/>
      <c r="G634" s="134">
        <f>G635+G644+G638+G641+G647+G650+G653</f>
        <v>1494670</v>
      </c>
      <c r="H634" s="134">
        <f t="shared" ref="H634:I634" si="334">H635+H644+H638+H641+H647</f>
        <v>497800</v>
      </c>
      <c r="I634" s="29">
        <f t="shared" si="334"/>
        <v>496600</v>
      </c>
      <c r="M634" s="258"/>
      <c r="N634" s="258"/>
      <c r="O634" s="162"/>
      <c r="AE634" s="54"/>
      <c r="AF634" s="54"/>
    </row>
    <row r="635" spans="1:32" ht="63">
      <c r="A635" s="144">
        <v>619</v>
      </c>
      <c r="B635" s="326" t="s">
        <v>352</v>
      </c>
      <c r="C635" s="327">
        <v>952</v>
      </c>
      <c r="D635" s="34" t="s">
        <v>122</v>
      </c>
      <c r="E635" s="34" t="s">
        <v>292</v>
      </c>
      <c r="F635" s="327"/>
      <c r="G635" s="134">
        <f t="shared" ref="G635:I635" si="335">G636</f>
        <v>100000</v>
      </c>
      <c r="H635" s="134">
        <f t="shared" si="335"/>
        <v>100000</v>
      </c>
      <c r="I635" s="29">
        <f t="shared" si="335"/>
        <v>100000</v>
      </c>
      <c r="M635" s="258"/>
      <c r="N635" s="258"/>
      <c r="O635" s="162"/>
      <c r="AE635" s="54"/>
      <c r="AF635" s="54"/>
    </row>
    <row r="636" spans="1:32" ht="31.5">
      <c r="A636" s="144">
        <v>620</v>
      </c>
      <c r="B636" s="328" t="s">
        <v>49</v>
      </c>
      <c r="C636" s="327">
        <v>952</v>
      </c>
      <c r="D636" s="34" t="s">
        <v>122</v>
      </c>
      <c r="E636" s="34" t="s">
        <v>292</v>
      </c>
      <c r="F636" s="327">
        <v>600</v>
      </c>
      <c r="G636" s="134">
        <f>G637</f>
        <v>100000</v>
      </c>
      <c r="H636" s="134">
        <f t="shared" ref="H636:I636" si="336">H637</f>
        <v>100000</v>
      </c>
      <c r="I636" s="29">
        <f t="shared" si="336"/>
        <v>100000</v>
      </c>
      <c r="M636" s="258"/>
      <c r="N636" s="258"/>
      <c r="O636" s="162"/>
      <c r="AE636" s="54"/>
      <c r="AF636" s="54"/>
    </row>
    <row r="637" spans="1:32" ht="15.75">
      <c r="A637" s="144">
        <v>621</v>
      </c>
      <c r="B637" s="328" t="s">
        <v>67</v>
      </c>
      <c r="C637" s="327">
        <v>952</v>
      </c>
      <c r="D637" s="34" t="s">
        <v>122</v>
      </c>
      <c r="E637" s="34" t="s">
        <v>292</v>
      </c>
      <c r="F637" s="327">
        <v>610</v>
      </c>
      <c r="G637" s="134">
        <v>100000</v>
      </c>
      <c r="H637" s="134">
        <v>100000</v>
      </c>
      <c r="I637" s="157">
        <v>100000</v>
      </c>
      <c r="M637" s="258"/>
      <c r="N637" s="258"/>
      <c r="O637" s="162"/>
      <c r="AE637" s="54"/>
      <c r="AF637" s="54"/>
    </row>
    <row r="638" spans="1:32" ht="31.5">
      <c r="A638" s="144">
        <v>622</v>
      </c>
      <c r="B638" s="326" t="s">
        <v>464</v>
      </c>
      <c r="C638" s="327">
        <v>952</v>
      </c>
      <c r="D638" s="34" t="s">
        <v>122</v>
      </c>
      <c r="E638" s="34" t="s">
        <v>549</v>
      </c>
      <c r="F638" s="327"/>
      <c r="G638" s="134">
        <f>G639</f>
        <v>147000</v>
      </c>
      <c r="H638" s="134">
        <f t="shared" ref="H638:I639" si="337">H639</f>
        <v>152000</v>
      </c>
      <c r="I638" s="29">
        <f t="shared" si="337"/>
        <v>150800</v>
      </c>
      <c r="M638" s="258"/>
      <c r="N638" s="258"/>
      <c r="O638" s="162"/>
      <c r="AE638" s="54"/>
      <c r="AF638" s="54"/>
    </row>
    <row r="639" spans="1:32" ht="31.5">
      <c r="A639" s="144">
        <v>623</v>
      </c>
      <c r="B639" s="328" t="s">
        <v>49</v>
      </c>
      <c r="C639" s="327">
        <v>952</v>
      </c>
      <c r="D639" s="34" t="s">
        <v>122</v>
      </c>
      <c r="E639" s="34" t="s">
        <v>549</v>
      </c>
      <c r="F639" s="327">
        <v>600</v>
      </c>
      <c r="G639" s="134">
        <f>G640</f>
        <v>147000</v>
      </c>
      <c r="H639" s="134">
        <f t="shared" si="337"/>
        <v>152000</v>
      </c>
      <c r="I639" s="29">
        <f t="shared" si="337"/>
        <v>150800</v>
      </c>
      <c r="M639" s="258"/>
      <c r="N639" s="258"/>
      <c r="O639" s="162"/>
      <c r="AE639" s="54"/>
      <c r="AF639" s="54"/>
    </row>
    <row r="640" spans="1:32" ht="15.75">
      <c r="A640" s="144">
        <v>624</v>
      </c>
      <c r="B640" s="328" t="s">
        <v>67</v>
      </c>
      <c r="C640" s="327">
        <v>952</v>
      </c>
      <c r="D640" s="34" t="s">
        <v>122</v>
      </c>
      <c r="E640" s="34" t="s">
        <v>549</v>
      </c>
      <c r="F640" s="327">
        <v>610</v>
      </c>
      <c r="G640" s="134">
        <f>160000+2000-16000+700+300</f>
        <v>147000</v>
      </c>
      <c r="H640" s="134">
        <f>160200+2000-11000+800</f>
        <v>152000</v>
      </c>
      <c r="I640" s="157">
        <f>49700+500+98300+2300</f>
        <v>150800</v>
      </c>
      <c r="J640" s="263"/>
      <c r="M640" s="258"/>
      <c r="N640" s="258"/>
      <c r="O640" s="247"/>
      <c r="AE640" s="54"/>
      <c r="AF640" s="54"/>
    </row>
    <row r="641" spans="1:32" ht="63">
      <c r="A641" s="144">
        <v>625</v>
      </c>
      <c r="B641" s="328" t="s">
        <v>503</v>
      </c>
      <c r="C641" s="327">
        <v>952</v>
      </c>
      <c r="D641" s="34" t="s">
        <v>122</v>
      </c>
      <c r="E641" s="34" t="s">
        <v>504</v>
      </c>
      <c r="F641" s="327"/>
      <c r="G641" s="134">
        <f>G642</f>
        <v>696970</v>
      </c>
      <c r="H641" s="134">
        <f t="shared" ref="H641:I642" si="338">H642</f>
        <v>0</v>
      </c>
      <c r="I641" s="29">
        <f t="shared" si="338"/>
        <v>0</v>
      </c>
      <c r="M641" s="258"/>
      <c r="N641" s="258"/>
      <c r="O641" s="162"/>
      <c r="AE641" s="54"/>
      <c r="AF641" s="54"/>
    </row>
    <row r="642" spans="1:32" ht="31.5">
      <c r="A642" s="144">
        <v>626</v>
      </c>
      <c r="B642" s="328" t="s">
        <v>49</v>
      </c>
      <c r="C642" s="327">
        <v>952</v>
      </c>
      <c r="D642" s="34" t="s">
        <v>122</v>
      </c>
      <c r="E642" s="34" t="s">
        <v>504</v>
      </c>
      <c r="F642" s="327">
        <v>600</v>
      </c>
      <c r="G642" s="134">
        <f>G643</f>
        <v>696970</v>
      </c>
      <c r="H642" s="134">
        <f t="shared" si="338"/>
        <v>0</v>
      </c>
      <c r="I642" s="29">
        <f t="shared" si="338"/>
        <v>0</v>
      </c>
      <c r="M642" s="258"/>
      <c r="N642" s="258"/>
      <c r="O642" s="162"/>
      <c r="AE642" s="54"/>
      <c r="AF642" s="54"/>
    </row>
    <row r="643" spans="1:32" ht="15.75">
      <c r="A643" s="144">
        <v>627</v>
      </c>
      <c r="B643" s="328" t="s">
        <v>67</v>
      </c>
      <c r="C643" s="327">
        <v>952</v>
      </c>
      <c r="D643" s="34" t="s">
        <v>122</v>
      </c>
      <c r="E643" s="34" t="s">
        <v>504</v>
      </c>
      <c r="F643" s="327">
        <v>610</v>
      </c>
      <c r="G643" s="134">
        <f>6970+690000</f>
        <v>696970</v>
      </c>
      <c r="H643" s="134">
        <v>0</v>
      </c>
      <c r="I643" s="157">
        <v>0</v>
      </c>
      <c r="M643" s="258"/>
      <c r="N643" s="258"/>
      <c r="O643" s="162"/>
      <c r="AE643" s="54"/>
      <c r="AF643" s="54"/>
    </row>
    <row r="644" spans="1:32" s="54" customFormat="1" ht="47.25">
      <c r="A644" s="144">
        <v>628</v>
      </c>
      <c r="B644" s="326" t="s">
        <v>394</v>
      </c>
      <c r="C644" s="327">
        <v>952</v>
      </c>
      <c r="D644" s="34" t="s">
        <v>122</v>
      </c>
      <c r="E644" s="34" t="s">
        <v>405</v>
      </c>
      <c r="F644" s="327"/>
      <c r="G644" s="134">
        <f t="shared" ref="G644:I645" si="339">G645</f>
        <v>245800</v>
      </c>
      <c r="H644" s="134">
        <f t="shared" si="339"/>
        <v>245800</v>
      </c>
      <c r="I644" s="29">
        <f t="shared" si="339"/>
        <v>245800</v>
      </c>
      <c r="M644" s="258"/>
      <c r="N644" s="258"/>
      <c r="O644" s="162"/>
    </row>
    <row r="645" spans="1:32" s="54" customFormat="1" ht="31.5">
      <c r="A645" s="144">
        <v>629</v>
      </c>
      <c r="B645" s="328" t="s">
        <v>49</v>
      </c>
      <c r="C645" s="327">
        <v>952</v>
      </c>
      <c r="D645" s="34" t="s">
        <v>122</v>
      </c>
      <c r="E645" s="34" t="s">
        <v>405</v>
      </c>
      <c r="F645" s="327">
        <v>600</v>
      </c>
      <c r="G645" s="134">
        <f t="shared" si="339"/>
        <v>245800</v>
      </c>
      <c r="H645" s="134">
        <f t="shared" si="339"/>
        <v>245800</v>
      </c>
      <c r="I645" s="29">
        <f t="shared" si="339"/>
        <v>245800</v>
      </c>
      <c r="M645" s="258"/>
      <c r="N645" s="258"/>
      <c r="O645" s="162"/>
    </row>
    <row r="646" spans="1:32" s="54" customFormat="1" ht="15.75">
      <c r="A646" s="144">
        <v>630</v>
      </c>
      <c r="B646" s="328" t="s">
        <v>67</v>
      </c>
      <c r="C646" s="327">
        <v>952</v>
      </c>
      <c r="D646" s="34" t="s">
        <v>122</v>
      </c>
      <c r="E646" s="34" t="s">
        <v>405</v>
      </c>
      <c r="F646" s="327">
        <v>610</v>
      </c>
      <c r="G646" s="134">
        <f>183800+62000</f>
        <v>245800</v>
      </c>
      <c r="H646" s="134">
        <f>183800+62000</f>
        <v>245800</v>
      </c>
      <c r="I646" s="157">
        <f>183800+62000</f>
        <v>245800</v>
      </c>
      <c r="M646" s="258"/>
      <c r="N646" s="258"/>
      <c r="O646" s="162"/>
    </row>
    <row r="647" spans="1:32" s="54" customFormat="1" ht="31.5">
      <c r="A647" s="144">
        <v>631</v>
      </c>
      <c r="B647" s="328" t="s">
        <v>526</v>
      </c>
      <c r="C647" s="327">
        <v>952</v>
      </c>
      <c r="D647" s="34" t="s">
        <v>122</v>
      </c>
      <c r="E647" s="34" t="s">
        <v>514</v>
      </c>
      <c r="F647" s="327"/>
      <c r="G647" s="134">
        <f>G648</f>
        <v>154900</v>
      </c>
      <c r="H647" s="134">
        <f t="shared" ref="H647:I648" si="340">H648</f>
        <v>0</v>
      </c>
      <c r="I647" s="29">
        <f t="shared" si="340"/>
        <v>0</v>
      </c>
      <c r="M647" s="258"/>
      <c r="N647" s="258"/>
      <c r="O647" s="162"/>
    </row>
    <row r="648" spans="1:32" s="54" customFormat="1" ht="31.5">
      <c r="A648" s="144">
        <v>632</v>
      </c>
      <c r="B648" s="328" t="s">
        <v>49</v>
      </c>
      <c r="C648" s="327">
        <v>952</v>
      </c>
      <c r="D648" s="34" t="s">
        <v>122</v>
      </c>
      <c r="E648" s="34" t="s">
        <v>514</v>
      </c>
      <c r="F648" s="327">
        <v>600</v>
      </c>
      <c r="G648" s="134">
        <f>G649</f>
        <v>154900</v>
      </c>
      <c r="H648" s="134">
        <f t="shared" si="340"/>
        <v>0</v>
      </c>
      <c r="I648" s="29">
        <f t="shared" si="340"/>
        <v>0</v>
      </c>
      <c r="M648" s="258"/>
      <c r="N648" s="258"/>
      <c r="O648" s="162"/>
    </row>
    <row r="649" spans="1:32" s="54" customFormat="1" ht="15.75">
      <c r="A649" s="144">
        <v>633</v>
      </c>
      <c r="B649" s="328" t="s">
        <v>67</v>
      </c>
      <c r="C649" s="327">
        <v>952</v>
      </c>
      <c r="D649" s="34" t="s">
        <v>122</v>
      </c>
      <c r="E649" s="34" t="s">
        <v>514</v>
      </c>
      <c r="F649" s="327">
        <v>610</v>
      </c>
      <c r="G649" s="134">
        <v>154900</v>
      </c>
      <c r="H649" s="134">
        <v>0</v>
      </c>
      <c r="I649" s="157">
        <v>0</v>
      </c>
      <c r="M649" s="258"/>
      <c r="N649" s="258"/>
      <c r="O649" s="162"/>
    </row>
    <row r="650" spans="1:32" s="54" customFormat="1" ht="56.25" customHeight="1">
      <c r="A650" s="144">
        <v>634</v>
      </c>
      <c r="B650" s="328" t="s">
        <v>554</v>
      </c>
      <c r="C650" s="327">
        <v>952</v>
      </c>
      <c r="D650" s="34" t="s">
        <v>122</v>
      </c>
      <c r="E650" s="34" t="s">
        <v>550</v>
      </c>
      <c r="F650" s="327"/>
      <c r="G650" s="134">
        <f>G651</f>
        <v>50000</v>
      </c>
      <c r="H650" s="134">
        <f t="shared" ref="H650:I650" si="341">H651</f>
        <v>0</v>
      </c>
      <c r="I650" s="29">
        <f t="shared" si="341"/>
        <v>0</v>
      </c>
      <c r="J650" s="262"/>
      <c r="M650" s="258"/>
      <c r="N650" s="258"/>
      <c r="O650" s="162"/>
    </row>
    <row r="651" spans="1:32" s="54" customFormat="1" ht="34.5" customHeight="1">
      <c r="A651" s="144">
        <v>635</v>
      </c>
      <c r="B651" s="328" t="s">
        <v>551</v>
      </c>
      <c r="C651" s="327">
        <v>952</v>
      </c>
      <c r="D651" s="34" t="s">
        <v>122</v>
      </c>
      <c r="E651" s="34" t="s">
        <v>550</v>
      </c>
      <c r="F651" s="327">
        <v>600</v>
      </c>
      <c r="G651" s="134">
        <f>G652</f>
        <v>50000</v>
      </c>
      <c r="H651" s="134">
        <f>H652</f>
        <v>0</v>
      </c>
      <c r="I651" s="29">
        <f>I652</f>
        <v>0</v>
      </c>
      <c r="J651" s="264"/>
      <c r="M651" s="258"/>
      <c r="N651" s="258"/>
      <c r="O651" s="162"/>
    </row>
    <row r="652" spans="1:32" s="54" customFormat="1" ht="15.75">
      <c r="A652" s="144">
        <v>636</v>
      </c>
      <c r="B652" s="328" t="s">
        <v>67</v>
      </c>
      <c r="C652" s="327">
        <v>952</v>
      </c>
      <c r="D652" s="34" t="s">
        <v>122</v>
      </c>
      <c r="E652" s="34" t="s">
        <v>550</v>
      </c>
      <c r="F652" s="327">
        <v>610</v>
      </c>
      <c r="G652" s="134">
        <v>50000</v>
      </c>
      <c r="H652" s="134">
        <v>0</v>
      </c>
      <c r="I652" s="157">
        <v>0</v>
      </c>
      <c r="J652" s="264"/>
      <c r="M652" s="258"/>
      <c r="N652" s="258"/>
      <c r="O652" s="162"/>
    </row>
    <row r="653" spans="1:32" s="54" customFormat="1" ht="52.5" customHeight="1">
      <c r="A653" s="144">
        <v>637</v>
      </c>
      <c r="B653" s="328" t="s">
        <v>553</v>
      </c>
      <c r="C653" s="327">
        <v>952</v>
      </c>
      <c r="D653" s="34" t="s">
        <v>122</v>
      </c>
      <c r="E653" s="34" t="s">
        <v>552</v>
      </c>
      <c r="F653" s="327"/>
      <c r="G653" s="134">
        <f>G654</f>
        <v>100000</v>
      </c>
      <c r="H653" s="134">
        <f t="shared" ref="H653:I654" si="342">H654</f>
        <v>0</v>
      </c>
      <c r="I653" s="29">
        <f t="shared" si="342"/>
        <v>0</v>
      </c>
      <c r="J653" s="264"/>
      <c r="M653" s="258"/>
      <c r="N653" s="258"/>
      <c r="O653" s="162"/>
    </row>
    <row r="654" spans="1:32" s="54" customFormat="1" ht="34.5" customHeight="1">
      <c r="A654" s="144">
        <v>638</v>
      </c>
      <c r="B654" s="328" t="s">
        <v>49</v>
      </c>
      <c r="C654" s="327">
        <v>952</v>
      </c>
      <c r="D654" s="34" t="s">
        <v>122</v>
      </c>
      <c r="E654" s="34" t="s">
        <v>552</v>
      </c>
      <c r="F654" s="327">
        <v>600</v>
      </c>
      <c r="G654" s="134">
        <f>G655</f>
        <v>100000</v>
      </c>
      <c r="H654" s="134">
        <f t="shared" si="342"/>
        <v>0</v>
      </c>
      <c r="I654" s="29">
        <f t="shared" si="342"/>
        <v>0</v>
      </c>
      <c r="J654" s="264"/>
      <c r="M654" s="258"/>
      <c r="N654" s="258"/>
      <c r="O654" s="162"/>
    </row>
    <row r="655" spans="1:32" s="54" customFormat="1" ht="15.75">
      <c r="A655" s="144">
        <v>639</v>
      </c>
      <c r="B655" s="328" t="s">
        <v>67</v>
      </c>
      <c r="C655" s="327">
        <v>952</v>
      </c>
      <c r="D655" s="34" t="s">
        <v>122</v>
      </c>
      <c r="E655" s="34" t="s">
        <v>552</v>
      </c>
      <c r="F655" s="327">
        <v>610</v>
      </c>
      <c r="G655" s="134">
        <v>100000</v>
      </c>
      <c r="H655" s="134">
        <v>0</v>
      </c>
      <c r="I655" s="157">
        <v>0</v>
      </c>
      <c r="J655" s="262"/>
      <c r="M655" s="258"/>
      <c r="N655" s="258"/>
      <c r="O655" s="162"/>
    </row>
    <row r="656" spans="1:32">
      <c r="A656" s="144">
        <v>640</v>
      </c>
      <c r="B656" s="143" t="s">
        <v>73</v>
      </c>
      <c r="C656" s="34">
        <v>952</v>
      </c>
      <c r="D656" s="34" t="s">
        <v>123</v>
      </c>
      <c r="E656" s="34"/>
      <c r="F656" s="144"/>
      <c r="G656" s="134">
        <f>G657+G666</f>
        <v>4810388.24</v>
      </c>
      <c r="H656" s="134">
        <f t="shared" ref="H656:I656" si="343">H657+H666</f>
        <v>4460330.24</v>
      </c>
      <c r="I656" s="29">
        <f t="shared" si="343"/>
        <v>4460330.24</v>
      </c>
      <c r="J656" s="265"/>
      <c r="M656" s="258"/>
      <c r="N656" s="258"/>
      <c r="O656" s="162"/>
      <c r="AE656" s="54"/>
      <c r="AF656" s="54"/>
    </row>
    <row r="657" spans="1:32">
      <c r="A657" s="144">
        <v>641</v>
      </c>
      <c r="B657" s="306" t="s">
        <v>317</v>
      </c>
      <c r="C657" s="34">
        <v>952</v>
      </c>
      <c r="D657" s="34" t="s">
        <v>123</v>
      </c>
      <c r="E657" s="34" t="s">
        <v>189</v>
      </c>
      <c r="F657" s="144"/>
      <c r="G657" s="134">
        <f t="shared" ref="G657:I658" si="344">G658</f>
        <v>4770388.24</v>
      </c>
      <c r="H657" s="134">
        <f t="shared" si="344"/>
        <v>4460330.24</v>
      </c>
      <c r="I657" s="29">
        <f t="shared" si="344"/>
        <v>4460330.24</v>
      </c>
      <c r="M657" s="258"/>
      <c r="N657" s="258"/>
      <c r="O657" s="162"/>
      <c r="AE657" s="54"/>
      <c r="AF657" s="54"/>
    </row>
    <row r="658" spans="1:32">
      <c r="A658" s="144">
        <v>642</v>
      </c>
      <c r="B658" s="306" t="s">
        <v>66</v>
      </c>
      <c r="C658" s="34">
        <v>952</v>
      </c>
      <c r="D658" s="34" t="s">
        <v>123</v>
      </c>
      <c r="E658" s="34" t="s">
        <v>208</v>
      </c>
      <c r="F658" s="144"/>
      <c r="G658" s="134">
        <f t="shared" si="344"/>
        <v>4770388.24</v>
      </c>
      <c r="H658" s="134">
        <f t="shared" si="344"/>
        <v>4460330.24</v>
      </c>
      <c r="I658" s="29">
        <f t="shared" si="344"/>
        <v>4460330.24</v>
      </c>
      <c r="M658" s="258"/>
      <c r="N658" s="258"/>
      <c r="O658" s="162"/>
      <c r="AE658" s="54"/>
      <c r="AF658" s="54"/>
    </row>
    <row r="659" spans="1:32" ht="45">
      <c r="A659" s="144">
        <v>643</v>
      </c>
      <c r="B659" s="306" t="s">
        <v>361</v>
      </c>
      <c r="C659" s="34">
        <v>952</v>
      </c>
      <c r="D659" s="34" t="s">
        <v>123</v>
      </c>
      <c r="E659" s="34" t="s">
        <v>209</v>
      </c>
      <c r="F659" s="144"/>
      <c r="G659" s="134">
        <f t="shared" ref="G659" si="345">G660+G662+G664</f>
        <v>4770388.24</v>
      </c>
      <c r="H659" s="134">
        <f t="shared" ref="H659:I659" si="346">H660+H662+H664</f>
        <v>4460330.24</v>
      </c>
      <c r="I659" s="29">
        <f t="shared" si="346"/>
        <v>4460330.24</v>
      </c>
      <c r="M659" s="258"/>
      <c r="N659" s="258"/>
      <c r="O659" s="162"/>
      <c r="AE659" s="54"/>
      <c r="AF659" s="54"/>
    </row>
    <row r="660" spans="1:32" ht="45">
      <c r="A660" s="144">
        <v>644</v>
      </c>
      <c r="B660" s="143" t="s">
        <v>15</v>
      </c>
      <c r="C660" s="34">
        <v>952</v>
      </c>
      <c r="D660" s="34" t="s">
        <v>123</v>
      </c>
      <c r="E660" s="34" t="s">
        <v>209</v>
      </c>
      <c r="F660" s="144">
        <v>100</v>
      </c>
      <c r="G660" s="134">
        <f t="shared" ref="G660:I660" si="347">G661</f>
        <v>4347960.24</v>
      </c>
      <c r="H660" s="134">
        <f t="shared" si="347"/>
        <v>4037902.24</v>
      </c>
      <c r="I660" s="29">
        <f t="shared" si="347"/>
        <v>4037902.24</v>
      </c>
      <c r="M660" s="258"/>
      <c r="N660" s="258"/>
      <c r="O660" s="162"/>
      <c r="AE660" s="54"/>
      <c r="AF660" s="54"/>
    </row>
    <row r="661" spans="1:32">
      <c r="A661" s="144">
        <v>645</v>
      </c>
      <c r="B661" s="143" t="s">
        <v>63</v>
      </c>
      <c r="C661" s="34">
        <v>952</v>
      </c>
      <c r="D661" s="34" t="s">
        <v>123</v>
      </c>
      <c r="E661" s="34" t="s">
        <v>209</v>
      </c>
      <c r="F661" s="144">
        <v>110</v>
      </c>
      <c r="G661" s="134">
        <f>4037902.24+310058</f>
        <v>4347960.24</v>
      </c>
      <c r="H661" s="134">
        <v>4037902.24</v>
      </c>
      <c r="I661" s="157">
        <v>4037902.24</v>
      </c>
      <c r="M661" s="258"/>
      <c r="N661" s="258"/>
      <c r="O661" s="162"/>
      <c r="AE661" s="54"/>
      <c r="AF661" s="54"/>
    </row>
    <row r="662" spans="1:32">
      <c r="A662" s="144">
        <v>646</v>
      </c>
      <c r="B662" s="143" t="s">
        <v>20</v>
      </c>
      <c r="C662" s="34">
        <v>952</v>
      </c>
      <c r="D662" s="34" t="s">
        <v>123</v>
      </c>
      <c r="E662" s="34" t="s">
        <v>209</v>
      </c>
      <c r="F662" s="144">
        <v>200</v>
      </c>
      <c r="G662" s="134">
        <f t="shared" ref="G662:I662" si="348">G663</f>
        <v>421928</v>
      </c>
      <c r="H662" s="134">
        <f t="shared" si="348"/>
        <v>421928</v>
      </c>
      <c r="I662" s="29">
        <f t="shared" si="348"/>
        <v>421928</v>
      </c>
      <c r="M662" s="258"/>
      <c r="N662" s="258"/>
      <c r="O662" s="162"/>
      <c r="AE662" s="54"/>
      <c r="AF662" s="54"/>
    </row>
    <row r="663" spans="1:32">
      <c r="A663" s="144">
        <v>647</v>
      </c>
      <c r="B663" s="143" t="s">
        <v>21</v>
      </c>
      <c r="C663" s="34">
        <v>952</v>
      </c>
      <c r="D663" s="34" t="s">
        <v>123</v>
      </c>
      <c r="E663" s="34" t="s">
        <v>209</v>
      </c>
      <c r="F663" s="144">
        <v>240</v>
      </c>
      <c r="G663" s="134">
        <v>421928</v>
      </c>
      <c r="H663" s="134">
        <v>421928</v>
      </c>
      <c r="I663" s="157">
        <v>421928</v>
      </c>
      <c r="M663" s="258"/>
      <c r="N663" s="258"/>
      <c r="O663" s="162"/>
      <c r="AE663" s="54"/>
      <c r="AF663" s="54"/>
    </row>
    <row r="664" spans="1:32">
      <c r="A664" s="144">
        <v>648</v>
      </c>
      <c r="B664" s="143" t="s">
        <v>32</v>
      </c>
      <c r="C664" s="34">
        <v>952</v>
      </c>
      <c r="D664" s="34" t="s">
        <v>123</v>
      </c>
      <c r="E664" s="34" t="s">
        <v>209</v>
      </c>
      <c r="F664" s="144">
        <v>800</v>
      </c>
      <c r="G664" s="134">
        <f t="shared" ref="G664:I664" si="349">G665</f>
        <v>500</v>
      </c>
      <c r="H664" s="134">
        <f t="shared" si="349"/>
        <v>500</v>
      </c>
      <c r="I664" s="29">
        <f t="shared" si="349"/>
        <v>500</v>
      </c>
      <c r="M664" s="258"/>
      <c r="N664" s="258"/>
      <c r="O664" s="162"/>
      <c r="AE664" s="54"/>
      <c r="AF664" s="54"/>
    </row>
    <row r="665" spans="1:32">
      <c r="A665" s="144">
        <v>649</v>
      </c>
      <c r="B665" s="143" t="s">
        <v>80</v>
      </c>
      <c r="C665" s="34">
        <v>952</v>
      </c>
      <c r="D665" s="34" t="s">
        <v>123</v>
      </c>
      <c r="E665" s="34" t="s">
        <v>209</v>
      </c>
      <c r="F665" s="144">
        <v>850</v>
      </c>
      <c r="G665" s="134">
        <v>500</v>
      </c>
      <c r="H665" s="134">
        <v>500</v>
      </c>
      <c r="I665" s="157">
        <v>500</v>
      </c>
      <c r="M665" s="258"/>
      <c r="N665" s="258"/>
      <c r="O665" s="162"/>
      <c r="AE665" s="54"/>
      <c r="AF665" s="54"/>
    </row>
    <row r="666" spans="1:32">
      <c r="A666" s="144">
        <v>650</v>
      </c>
      <c r="B666" s="143" t="s">
        <v>239</v>
      </c>
      <c r="C666" s="34" t="s">
        <v>304</v>
      </c>
      <c r="D666" s="34" t="s">
        <v>461</v>
      </c>
      <c r="E666" s="34" t="s">
        <v>240</v>
      </c>
      <c r="F666" s="144"/>
      <c r="G666" s="134">
        <f>G667</f>
        <v>40000</v>
      </c>
      <c r="H666" s="134">
        <f t="shared" ref="H666:I668" si="350">H667</f>
        <v>0</v>
      </c>
      <c r="I666" s="29">
        <f t="shared" si="350"/>
        <v>0</v>
      </c>
      <c r="M666" s="258"/>
      <c r="N666" s="258"/>
      <c r="O666" s="162"/>
      <c r="AE666" s="54"/>
      <c r="AF666" s="54"/>
    </row>
    <row r="667" spans="1:32" ht="55.5" customHeight="1">
      <c r="A667" s="144">
        <v>651</v>
      </c>
      <c r="B667" s="143" t="s">
        <v>462</v>
      </c>
      <c r="C667" s="34" t="s">
        <v>304</v>
      </c>
      <c r="D667" s="34" t="s">
        <v>123</v>
      </c>
      <c r="E667" s="34" t="s">
        <v>463</v>
      </c>
      <c r="F667" s="144"/>
      <c r="G667" s="134">
        <f>G668</f>
        <v>40000</v>
      </c>
      <c r="H667" s="134">
        <f t="shared" si="350"/>
        <v>0</v>
      </c>
      <c r="I667" s="29">
        <f t="shared" si="350"/>
        <v>0</v>
      </c>
      <c r="M667" s="258"/>
      <c r="N667" s="258"/>
      <c r="O667" s="162"/>
      <c r="AE667" s="54"/>
      <c r="AF667" s="54"/>
    </row>
    <row r="668" spans="1:32" ht="31.5">
      <c r="A668" s="144">
        <v>652</v>
      </c>
      <c r="B668" s="328" t="s">
        <v>49</v>
      </c>
      <c r="C668" s="34" t="s">
        <v>304</v>
      </c>
      <c r="D668" s="34" t="s">
        <v>123</v>
      </c>
      <c r="E668" s="34" t="s">
        <v>463</v>
      </c>
      <c r="F668" s="144">
        <v>600</v>
      </c>
      <c r="G668" s="134">
        <f>G669</f>
        <v>40000</v>
      </c>
      <c r="H668" s="134">
        <f t="shared" si="350"/>
        <v>0</v>
      </c>
      <c r="I668" s="29">
        <f t="shared" si="350"/>
        <v>0</v>
      </c>
      <c r="M668" s="258"/>
      <c r="N668" s="258"/>
      <c r="O668" s="162"/>
      <c r="AE668" s="54"/>
      <c r="AF668" s="54"/>
    </row>
    <row r="669" spans="1:32" ht="15.75">
      <c r="A669" s="144">
        <v>653</v>
      </c>
      <c r="B669" s="328" t="s">
        <v>67</v>
      </c>
      <c r="C669" s="34" t="s">
        <v>304</v>
      </c>
      <c r="D669" s="34" t="s">
        <v>123</v>
      </c>
      <c r="E669" s="34" t="s">
        <v>463</v>
      </c>
      <c r="F669" s="144">
        <v>610</v>
      </c>
      <c r="G669" s="134">
        <v>40000</v>
      </c>
      <c r="H669" s="134">
        <v>0</v>
      </c>
      <c r="I669" s="157">
        <v>0</v>
      </c>
      <c r="M669" s="258"/>
      <c r="N669" s="258"/>
      <c r="O669" s="162"/>
      <c r="AE669" s="54"/>
      <c r="AF669" s="54"/>
    </row>
    <row r="670" spans="1:32" ht="15.75">
      <c r="A670" s="144">
        <v>654</v>
      </c>
      <c r="B670" s="326" t="s">
        <v>248</v>
      </c>
      <c r="C670" s="327">
        <v>952</v>
      </c>
      <c r="D670" s="329" t="s">
        <v>250</v>
      </c>
      <c r="E670" s="34"/>
      <c r="F670" s="327"/>
      <c r="G670" s="134">
        <f t="shared" ref="G670:I670" si="351">G671</f>
        <v>120000</v>
      </c>
      <c r="H670" s="134">
        <f t="shared" si="351"/>
        <v>120000</v>
      </c>
      <c r="I670" s="29">
        <f t="shared" si="351"/>
        <v>120000</v>
      </c>
      <c r="M670" s="258"/>
      <c r="N670" s="258"/>
      <c r="O670" s="162"/>
      <c r="AE670" s="54"/>
      <c r="AF670" s="54"/>
    </row>
    <row r="671" spans="1:32" ht="15.75">
      <c r="A671" s="144">
        <v>655</v>
      </c>
      <c r="B671" s="330" t="s">
        <v>249</v>
      </c>
      <c r="C671" s="327">
        <v>952</v>
      </c>
      <c r="D671" s="329">
        <v>1101</v>
      </c>
      <c r="E671" s="34"/>
      <c r="F671" s="327"/>
      <c r="G671" s="134">
        <f t="shared" ref="G671:I671" si="352">G672</f>
        <v>120000</v>
      </c>
      <c r="H671" s="134">
        <f t="shared" si="352"/>
        <v>120000</v>
      </c>
      <c r="I671" s="29">
        <f t="shared" si="352"/>
        <v>120000</v>
      </c>
      <c r="M671" s="258"/>
      <c r="N671" s="258"/>
      <c r="O671" s="162"/>
      <c r="AE671" s="54"/>
      <c r="AF671" s="54"/>
    </row>
    <row r="672" spans="1:32" ht="30">
      <c r="A672" s="144">
        <v>656</v>
      </c>
      <c r="B672" s="331" t="s">
        <v>251</v>
      </c>
      <c r="C672" s="34">
        <v>952</v>
      </c>
      <c r="D672" s="34" t="s">
        <v>252</v>
      </c>
      <c r="E672" s="34" t="s">
        <v>359</v>
      </c>
      <c r="F672" s="327"/>
      <c r="G672" s="134">
        <f t="shared" ref="G672" si="353">G673+G677</f>
        <v>120000</v>
      </c>
      <c r="H672" s="134">
        <f t="shared" ref="H672:I672" si="354">H673+H677</f>
        <v>120000</v>
      </c>
      <c r="I672" s="29">
        <f t="shared" si="354"/>
        <v>120000</v>
      </c>
      <c r="M672" s="258"/>
      <c r="N672" s="258"/>
      <c r="O672" s="162"/>
      <c r="AE672" s="54"/>
      <c r="AF672" s="54"/>
    </row>
    <row r="673" spans="1:32" ht="30">
      <c r="A673" s="144">
        <v>657</v>
      </c>
      <c r="B673" s="315" t="s">
        <v>314</v>
      </c>
      <c r="C673" s="327">
        <v>952</v>
      </c>
      <c r="D673" s="329" t="s">
        <v>252</v>
      </c>
      <c r="E673" s="34" t="s">
        <v>353</v>
      </c>
      <c r="F673" s="327"/>
      <c r="G673" s="134">
        <f t="shared" ref="G673:I673" si="355">G674</f>
        <v>30000</v>
      </c>
      <c r="H673" s="134">
        <f t="shared" si="355"/>
        <v>30000</v>
      </c>
      <c r="I673" s="29">
        <f t="shared" si="355"/>
        <v>30000</v>
      </c>
      <c r="M673" s="258"/>
      <c r="N673" s="258"/>
      <c r="O673" s="162"/>
      <c r="AE673" s="54"/>
      <c r="AF673" s="54"/>
    </row>
    <row r="674" spans="1:32" ht="60">
      <c r="A674" s="144">
        <v>658</v>
      </c>
      <c r="B674" s="315" t="s">
        <v>357</v>
      </c>
      <c r="C674" s="327">
        <v>952</v>
      </c>
      <c r="D674" s="329" t="s">
        <v>252</v>
      </c>
      <c r="E674" s="34" t="s">
        <v>354</v>
      </c>
      <c r="F674" s="327"/>
      <c r="G674" s="134">
        <f t="shared" ref="G674:I675" si="356">G675</f>
        <v>30000</v>
      </c>
      <c r="H674" s="134">
        <f t="shared" si="356"/>
        <v>30000</v>
      </c>
      <c r="I674" s="29">
        <f t="shared" si="356"/>
        <v>30000</v>
      </c>
      <c r="M674" s="258"/>
      <c r="N674" s="258"/>
      <c r="O674" s="162"/>
      <c r="AE674" s="54"/>
      <c r="AF674" s="54"/>
    </row>
    <row r="675" spans="1:32" ht="31.5">
      <c r="A675" s="144">
        <v>659</v>
      </c>
      <c r="B675" s="328" t="s">
        <v>49</v>
      </c>
      <c r="C675" s="327">
        <v>952</v>
      </c>
      <c r="D675" s="329" t="s">
        <v>252</v>
      </c>
      <c r="E675" s="34" t="s">
        <v>354</v>
      </c>
      <c r="F675" s="327">
        <v>600</v>
      </c>
      <c r="G675" s="134">
        <f t="shared" ref="G675" si="357">G676</f>
        <v>30000</v>
      </c>
      <c r="H675" s="134">
        <f t="shared" si="356"/>
        <v>30000</v>
      </c>
      <c r="I675" s="29">
        <f t="shared" si="356"/>
        <v>30000</v>
      </c>
      <c r="M675" s="258"/>
      <c r="N675" s="258"/>
      <c r="O675" s="162"/>
      <c r="AE675" s="54"/>
      <c r="AF675" s="54"/>
    </row>
    <row r="676" spans="1:32" ht="15.75">
      <c r="A676" s="144">
        <v>660</v>
      </c>
      <c r="B676" s="328" t="s">
        <v>67</v>
      </c>
      <c r="C676" s="327">
        <v>952</v>
      </c>
      <c r="D676" s="329" t="s">
        <v>252</v>
      </c>
      <c r="E676" s="34" t="s">
        <v>354</v>
      </c>
      <c r="F676" s="327">
        <v>610</v>
      </c>
      <c r="G676" s="134">
        <v>30000</v>
      </c>
      <c r="H676" s="134">
        <v>30000</v>
      </c>
      <c r="I676" s="157">
        <v>30000</v>
      </c>
      <c r="M676" s="258"/>
      <c r="N676" s="258"/>
      <c r="O676" s="162"/>
      <c r="AE676" s="54"/>
      <c r="AF676" s="54"/>
    </row>
    <row r="677" spans="1:32" ht="31.5">
      <c r="A677" s="144">
        <v>661</v>
      </c>
      <c r="B677" s="326" t="s">
        <v>315</v>
      </c>
      <c r="C677" s="327">
        <v>952</v>
      </c>
      <c r="D677" s="329" t="s">
        <v>252</v>
      </c>
      <c r="E677" s="34" t="s">
        <v>355</v>
      </c>
      <c r="F677" s="327"/>
      <c r="G677" s="134">
        <f t="shared" ref="G677:I679" si="358">G678</f>
        <v>90000</v>
      </c>
      <c r="H677" s="134">
        <f t="shared" si="358"/>
        <v>90000</v>
      </c>
      <c r="I677" s="29">
        <f t="shared" si="358"/>
        <v>90000</v>
      </c>
      <c r="M677" s="258"/>
      <c r="N677" s="258"/>
      <c r="O677" s="162"/>
      <c r="AE677" s="54"/>
      <c r="AF677" s="54"/>
    </row>
    <row r="678" spans="1:32" ht="78.75">
      <c r="A678" s="144">
        <v>662</v>
      </c>
      <c r="B678" s="326" t="s">
        <v>358</v>
      </c>
      <c r="C678" s="327">
        <v>952</v>
      </c>
      <c r="D678" s="329" t="s">
        <v>252</v>
      </c>
      <c r="E678" s="34" t="s">
        <v>356</v>
      </c>
      <c r="F678" s="327"/>
      <c r="G678" s="134">
        <f t="shared" si="358"/>
        <v>90000</v>
      </c>
      <c r="H678" s="134">
        <f t="shared" si="358"/>
        <v>90000</v>
      </c>
      <c r="I678" s="29">
        <f t="shared" si="358"/>
        <v>90000</v>
      </c>
      <c r="M678" s="258"/>
      <c r="N678" s="258"/>
      <c r="O678" s="162"/>
      <c r="AE678" s="54"/>
      <c r="AF678" s="54"/>
    </row>
    <row r="679" spans="1:32" ht="31.5">
      <c r="A679" s="144">
        <v>663</v>
      </c>
      <c r="B679" s="328" t="s">
        <v>49</v>
      </c>
      <c r="C679" s="327">
        <v>952</v>
      </c>
      <c r="D679" s="329" t="s">
        <v>252</v>
      </c>
      <c r="E679" s="34" t="s">
        <v>356</v>
      </c>
      <c r="F679" s="327">
        <v>600</v>
      </c>
      <c r="G679" s="134">
        <f t="shared" si="358"/>
        <v>90000</v>
      </c>
      <c r="H679" s="134">
        <f t="shared" si="358"/>
        <v>90000</v>
      </c>
      <c r="I679" s="29">
        <f t="shared" si="358"/>
        <v>90000</v>
      </c>
      <c r="M679" s="258"/>
      <c r="N679" s="258"/>
      <c r="O679" s="162"/>
      <c r="AE679" s="54"/>
      <c r="AF679" s="54"/>
    </row>
    <row r="680" spans="1:32" ht="15.75">
      <c r="A680" s="144">
        <v>664</v>
      </c>
      <c r="B680" s="328" t="s">
        <v>67</v>
      </c>
      <c r="C680" s="327">
        <v>952</v>
      </c>
      <c r="D680" s="329" t="s">
        <v>252</v>
      </c>
      <c r="E680" s="34" t="s">
        <v>356</v>
      </c>
      <c r="F680" s="327">
        <v>610</v>
      </c>
      <c r="G680" s="134">
        <v>90000</v>
      </c>
      <c r="H680" s="134">
        <v>90000</v>
      </c>
      <c r="I680" s="157">
        <v>90000</v>
      </c>
      <c r="M680" s="258"/>
      <c r="N680" s="258"/>
      <c r="O680" s="162"/>
      <c r="AE680" s="54"/>
      <c r="AF680" s="54"/>
    </row>
    <row r="681" spans="1:32" ht="30" customHeight="1">
      <c r="A681" s="144">
        <v>665</v>
      </c>
      <c r="B681" s="312" t="s">
        <v>237</v>
      </c>
      <c r="C681" s="302">
        <v>955</v>
      </c>
      <c r="D681" s="303"/>
      <c r="E681" s="302"/>
      <c r="F681" s="303"/>
      <c r="G681" s="304">
        <f t="shared" ref="G681:I684" si="359">G682</f>
        <v>4727782.6499999994</v>
      </c>
      <c r="H681" s="304">
        <f t="shared" si="359"/>
        <v>4537950.6499999994</v>
      </c>
      <c r="I681" s="46">
        <f t="shared" si="359"/>
        <v>4109739.6499999994</v>
      </c>
      <c r="M681" s="258"/>
      <c r="N681" s="258"/>
      <c r="O681" s="162"/>
      <c r="AE681" s="54"/>
      <c r="AF681" s="54"/>
    </row>
    <row r="682" spans="1:32">
      <c r="A682" s="144">
        <v>666</v>
      </c>
      <c r="B682" s="305" t="s">
        <v>85</v>
      </c>
      <c r="C682" s="34">
        <v>955</v>
      </c>
      <c r="D682" s="34" t="s">
        <v>86</v>
      </c>
      <c r="E682" s="34"/>
      <c r="F682" s="144"/>
      <c r="G682" s="134">
        <f t="shared" si="359"/>
        <v>4727782.6499999994</v>
      </c>
      <c r="H682" s="134">
        <f t="shared" si="359"/>
        <v>4537950.6499999994</v>
      </c>
      <c r="I682" s="29">
        <f t="shared" si="359"/>
        <v>4109739.6499999994</v>
      </c>
      <c r="M682" s="258"/>
      <c r="N682" s="258"/>
      <c r="O682" s="162"/>
      <c r="AE682" s="54"/>
      <c r="AF682" s="54"/>
    </row>
    <row r="683" spans="1:32" ht="30">
      <c r="A683" s="144">
        <v>667</v>
      </c>
      <c r="B683" s="143" t="s">
        <v>12</v>
      </c>
      <c r="C683" s="34">
        <v>955</v>
      </c>
      <c r="D683" s="34" t="s">
        <v>92</v>
      </c>
      <c r="E683" s="34"/>
      <c r="F683" s="144"/>
      <c r="G683" s="134">
        <f t="shared" si="359"/>
        <v>4727782.6499999994</v>
      </c>
      <c r="H683" s="134">
        <f t="shared" si="359"/>
        <v>4537950.6499999994</v>
      </c>
      <c r="I683" s="29">
        <f t="shared" si="359"/>
        <v>4109739.6499999994</v>
      </c>
      <c r="M683" s="258"/>
      <c r="N683" s="258"/>
      <c r="O683" s="162"/>
      <c r="AE683" s="54"/>
      <c r="AF683" s="54"/>
    </row>
    <row r="684" spans="1:32">
      <c r="A684" s="144">
        <v>668</v>
      </c>
      <c r="B684" s="143" t="s">
        <v>277</v>
      </c>
      <c r="C684" s="34">
        <v>955</v>
      </c>
      <c r="D684" s="34" t="s">
        <v>92</v>
      </c>
      <c r="E684" s="34">
        <v>8200000000</v>
      </c>
      <c r="F684" s="144"/>
      <c r="G684" s="134">
        <f t="shared" si="359"/>
        <v>4727782.6499999994</v>
      </c>
      <c r="H684" s="134">
        <f t="shared" si="359"/>
        <v>4537950.6499999994</v>
      </c>
      <c r="I684" s="29">
        <f t="shared" si="359"/>
        <v>4109739.6499999994</v>
      </c>
      <c r="M684" s="258"/>
      <c r="N684" s="258"/>
      <c r="O684" s="162"/>
      <c r="AE684" s="54"/>
      <c r="AF684" s="54"/>
    </row>
    <row r="685" spans="1:32">
      <c r="A685" s="144">
        <v>669</v>
      </c>
      <c r="B685" s="307" t="s">
        <v>278</v>
      </c>
      <c r="C685" s="34">
        <v>955</v>
      </c>
      <c r="D685" s="34" t="s">
        <v>92</v>
      </c>
      <c r="E685" s="34">
        <v>8210000000</v>
      </c>
      <c r="F685" s="144"/>
      <c r="G685" s="134">
        <f>G686+G693+G696</f>
        <v>4727782.6499999994</v>
      </c>
      <c r="H685" s="134">
        <f t="shared" ref="H685:I685" si="360">H686+H693+H696</f>
        <v>4537950.6499999994</v>
      </c>
      <c r="I685" s="29">
        <f t="shared" si="360"/>
        <v>4109739.6499999994</v>
      </c>
      <c r="M685" s="258"/>
      <c r="N685" s="258"/>
      <c r="O685" s="162"/>
      <c r="AE685" s="54"/>
      <c r="AF685" s="54"/>
    </row>
    <row r="686" spans="1:32">
      <c r="A686" s="144">
        <v>670</v>
      </c>
      <c r="B686" s="143" t="s">
        <v>75</v>
      </c>
      <c r="C686" s="34">
        <v>955</v>
      </c>
      <c r="D686" s="34" t="s">
        <v>92</v>
      </c>
      <c r="E686" s="34">
        <v>8210000210</v>
      </c>
      <c r="F686" s="144"/>
      <c r="G686" s="134">
        <f t="shared" ref="G686:I686" si="361">G687+G689+G691</f>
        <v>2856260.8999999994</v>
      </c>
      <c r="H686" s="134">
        <f t="shared" si="361"/>
        <v>2729706.0999999996</v>
      </c>
      <c r="I686" s="29">
        <f t="shared" si="361"/>
        <v>2729706.0999999996</v>
      </c>
      <c r="M686" s="258"/>
      <c r="N686" s="258"/>
      <c r="O686" s="162"/>
      <c r="AE686" s="54"/>
      <c r="AF686" s="54"/>
    </row>
    <row r="687" spans="1:32" ht="45">
      <c r="A687" s="144">
        <v>671</v>
      </c>
      <c r="B687" s="143" t="s">
        <v>15</v>
      </c>
      <c r="C687" s="34">
        <v>955</v>
      </c>
      <c r="D687" s="34" t="s">
        <v>92</v>
      </c>
      <c r="E687" s="34">
        <v>8210000210</v>
      </c>
      <c r="F687" s="144">
        <v>100</v>
      </c>
      <c r="G687" s="134">
        <f t="shared" ref="G687:I687" si="362">G688</f>
        <v>2593618.0799999996</v>
      </c>
      <c r="H687" s="134">
        <f t="shared" si="362"/>
        <v>2467063.2799999998</v>
      </c>
      <c r="I687" s="29">
        <f t="shared" si="362"/>
        <v>2467063.2799999998</v>
      </c>
      <c r="M687" s="258"/>
      <c r="N687" s="258"/>
      <c r="O687" s="162"/>
      <c r="AE687" s="54"/>
      <c r="AF687" s="54"/>
    </row>
    <row r="688" spans="1:32">
      <c r="A688" s="144">
        <v>672</v>
      </c>
      <c r="B688" s="143" t="s">
        <v>16</v>
      </c>
      <c r="C688" s="34">
        <v>955</v>
      </c>
      <c r="D688" s="34" t="s">
        <v>92</v>
      </c>
      <c r="E688" s="34">
        <v>8210000210</v>
      </c>
      <c r="F688" s="144">
        <v>120</v>
      </c>
      <c r="G688" s="134">
        <f>2467063.28-483782+126554.8+483782</f>
        <v>2593618.0799999996</v>
      </c>
      <c r="H688" s="134">
        <f>2467063.28-483782+483782</f>
        <v>2467063.2799999998</v>
      </c>
      <c r="I688" s="157">
        <v>2467063.2799999998</v>
      </c>
      <c r="M688" s="258"/>
      <c r="N688" s="258"/>
      <c r="O688" s="162"/>
      <c r="AE688" s="54"/>
      <c r="AF688" s="54"/>
    </row>
    <row r="689" spans="1:32">
      <c r="A689" s="144">
        <v>673</v>
      </c>
      <c r="B689" s="143" t="s">
        <v>20</v>
      </c>
      <c r="C689" s="34">
        <v>955</v>
      </c>
      <c r="D689" s="34" t="s">
        <v>92</v>
      </c>
      <c r="E689" s="34">
        <v>8210000210</v>
      </c>
      <c r="F689" s="144">
        <v>200</v>
      </c>
      <c r="G689" s="134">
        <f t="shared" ref="G689:I689" si="363">G690</f>
        <v>262142.82</v>
      </c>
      <c r="H689" s="134">
        <f t="shared" si="363"/>
        <v>262142.82</v>
      </c>
      <c r="I689" s="29">
        <f t="shared" si="363"/>
        <v>262142.82</v>
      </c>
      <c r="M689" s="258"/>
      <c r="N689" s="258"/>
      <c r="O689" s="162"/>
      <c r="AE689" s="54"/>
      <c r="AF689" s="54"/>
    </row>
    <row r="690" spans="1:32">
      <c r="A690" s="144">
        <v>674</v>
      </c>
      <c r="B690" s="143" t="s">
        <v>21</v>
      </c>
      <c r="C690" s="34">
        <v>955</v>
      </c>
      <c r="D690" s="34" t="s">
        <v>92</v>
      </c>
      <c r="E690" s="34">
        <v>8210000210</v>
      </c>
      <c r="F690" s="144">
        <v>240</v>
      </c>
      <c r="G690" s="134">
        <v>262142.82</v>
      </c>
      <c r="H690" s="134">
        <v>262142.82</v>
      </c>
      <c r="I690" s="157">
        <v>262142.82</v>
      </c>
      <c r="M690" s="258"/>
      <c r="N690" s="258"/>
      <c r="O690" s="162"/>
      <c r="AE690" s="54"/>
      <c r="AF690" s="54"/>
    </row>
    <row r="691" spans="1:32">
      <c r="A691" s="144">
        <v>675</v>
      </c>
      <c r="B691" s="143" t="s">
        <v>32</v>
      </c>
      <c r="C691" s="34">
        <v>955</v>
      </c>
      <c r="D691" s="34" t="s">
        <v>92</v>
      </c>
      <c r="E691" s="34">
        <v>8210000210</v>
      </c>
      <c r="F691" s="144">
        <v>800</v>
      </c>
      <c r="G691" s="134">
        <f t="shared" ref="G691:I691" si="364">G692</f>
        <v>500</v>
      </c>
      <c r="H691" s="134">
        <f t="shared" si="364"/>
        <v>500</v>
      </c>
      <c r="I691" s="29">
        <f t="shared" si="364"/>
        <v>500</v>
      </c>
      <c r="M691" s="258"/>
      <c r="N691" s="258"/>
      <c r="O691" s="162"/>
      <c r="AE691" s="54"/>
      <c r="AF691" s="54"/>
    </row>
    <row r="692" spans="1:32">
      <c r="A692" s="144">
        <v>676</v>
      </c>
      <c r="B692" s="143" t="s">
        <v>80</v>
      </c>
      <c r="C692" s="34">
        <v>955</v>
      </c>
      <c r="D692" s="34" t="s">
        <v>92</v>
      </c>
      <c r="E692" s="34">
        <v>8210000210</v>
      </c>
      <c r="F692" s="144">
        <v>850</v>
      </c>
      <c r="G692" s="134">
        <v>500</v>
      </c>
      <c r="H692" s="134">
        <v>500</v>
      </c>
      <c r="I692" s="29">
        <v>500</v>
      </c>
      <c r="M692" s="258"/>
      <c r="N692" s="258"/>
      <c r="O692" s="162"/>
      <c r="AE692" s="54"/>
      <c r="AF692" s="54"/>
    </row>
    <row r="693" spans="1:32">
      <c r="A693" s="144">
        <v>677</v>
      </c>
      <c r="B693" s="307" t="s">
        <v>452</v>
      </c>
      <c r="C693" s="34">
        <v>955</v>
      </c>
      <c r="D693" s="34" t="s">
        <v>92</v>
      </c>
      <c r="E693" s="34">
        <v>8210000250</v>
      </c>
      <c r="F693" s="144"/>
      <c r="G693" s="134">
        <f t="shared" ref="G693:I694" si="365">G694</f>
        <v>1443310.75</v>
      </c>
      <c r="H693" s="134">
        <f t="shared" si="365"/>
        <v>1380033.55</v>
      </c>
      <c r="I693" s="29">
        <f t="shared" si="365"/>
        <v>1380033.55</v>
      </c>
      <c r="M693" s="258"/>
      <c r="N693" s="258"/>
      <c r="O693" s="162"/>
      <c r="AE693" s="54"/>
      <c r="AF693" s="54"/>
    </row>
    <row r="694" spans="1:32" ht="45">
      <c r="A694" s="144">
        <v>678</v>
      </c>
      <c r="B694" s="143" t="s">
        <v>15</v>
      </c>
      <c r="C694" s="34">
        <v>955</v>
      </c>
      <c r="D694" s="34" t="s">
        <v>92</v>
      </c>
      <c r="E694" s="34">
        <v>8210000250</v>
      </c>
      <c r="F694" s="144">
        <v>100</v>
      </c>
      <c r="G694" s="134">
        <f t="shared" si="365"/>
        <v>1443310.75</v>
      </c>
      <c r="H694" s="134">
        <f t="shared" si="365"/>
        <v>1380033.55</v>
      </c>
      <c r="I694" s="29">
        <f t="shared" si="365"/>
        <v>1380033.55</v>
      </c>
      <c r="M694" s="258"/>
      <c r="N694" s="258"/>
      <c r="O694" s="162"/>
      <c r="AE694" s="54"/>
      <c r="AF694" s="54"/>
    </row>
    <row r="695" spans="1:32">
      <c r="A695" s="144">
        <v>679</v>
      </c>
      <c r="B695" s="143" t="s">
        <v>16</v>
      </c>
      <c r="C695" s="34">
        <v>955</v>
      </c>
      <c r="D695" s="34" t="s">
        <v>92</v>
      </c>
      <c r="E695" s="34">
        <v>8210000250</v>
      </c>
      <c r="F695" s="144">
        <v>120</v>
      </c>
      <c r="G695" s="134">
        <f>1380033.55+63277.2</f>
        <v>1443310.75</v>
      </c>
      <c r="H695" s="134">
        <v>1380033.55</v>
      </c>
      <c r="I695" s="157">
        <v>1380033.55</v>
      </c>
      <c r="M695" s="258"/>
      <c r="N695" s="258"/>
      <c r="O695" s="162"/>
      <c r="AE695" s="54"/>
      <c r="AF695" s="54"/>
    </row>
    <row r="696" spans="1:32" ht="30">
      <c r="A696" s="144">
        <v>680</v>
      </c>
      <c r="B696" s="143" t="s">
        <v>500</v>
      </c>
      <c r="C696" s="34" t="s">
        <v>501</v>
      </c>
      <c r="D696" s="34" t="s">
        <v>92</v>
      </c>
      <c r="E696" s="34" t="s">
        <v>502</v>
      </c>
      <c r="F696" s="144"/>
      <c r="G696" s="134">
        <f>G697</f>
        <v>428211</v>
      </c>
      <c r="H696" s="134">
        <f t="shared" ref="H696:I696" si="366">H697</f>
        <v>428211</v>
      </c>
      <c r="I696" s="29">
        <f t="shared" si="366"/>
        <v>0</v>
      </c>
      <c r="M696" s="258"/>
      <c r="N696" s="258"/>
      <c r="O696" s="162"/>
      <c r="AE696" s="54"/>
      <c r="AF696" s="54"/>
    </row>
    <row r="697" spans="1:32">
      <c r="A697" s="144">
        <v>681</v>
      </c>
      <c r="B697" s="143" t="s">
        <v>537</v>
      </c>
      <c r="C697" s="34" t="s">
        <v>501</v>
      </c>
      <c r="D697" s="34" t="s">
        <v>92</v>
      </c>
      <c r="E697" s="34" t="s">
        <v>502</v>
      </c>
      <c r="F697" s="144">
        <v>200</v>
      </c>
      <c r="G697" s="134">
        <f>G698</f>
        <v>428211</v>
      </c>
      <c r="H697" s="134">
        <f>H698</f>
        <v>428211</v>
      </c>
      <c r="I697" s="157">
        <f>I698</f>
        <v>0</v>
      </c>
      <c r="M697" s="258"/>
      <c r="N697" s="258"/>
      <c r="O697" s="162"/>
      <c r="AE697" s="54"/>
      <c r="AF697" s="54"/>
    </row>
    <row r="698" spans="1:32" ht="23.25" customHeight="1">
      <c r="A698" s="144">
        <v>682</v>
      </c>
      <c r="B698" s="143" t="s">
        <v>538</v>
      </c>
      <c r="C698" s="34" t="s">
        <v>501</v>
      </c>
      <c r="D698" s="34" t="s">
        <v>92</v>
      </c>
      <c r="E698" s="34" t="s">
        <v>502</v>
      </c>
      <c r="F698" s="144">
        <v>240</v>
      </c>
      <c r="G698" s="134">
        <f>483782-55571</f>
        <v>428211</v>
      </c>
      <c r="H698" s="134">
        <f>483782-55571</f>
        <v>428211</v>
      </c>
      <c r="I698" s="157">
        <v>0</v>
      </c>
      <c r="J698" s="276"/>
      <c r="K698" s="276"/>
      <c r="M698" s="258"/>
      <c r="N698" s="258"/>
      <c r="O698" s="162"/>
      <c r="AE698" s="54"/>
      <c r="AF698" s="54"/>
    </row>
    <row r="699" spans="1:32" ht="33.75" customHeight="1">
      <c r="A699" s="144">
        <v>683</v>
      </c>
      <c r="B699" s="312" t="s">
        <v>238</v>
      </c>
      <c r="C699" s="302">
        <v>957</v>
      </c>
      <c r="D699" s="303"/>
      <c r="E699" s="302"/>
      <c r="F699" s="303"/>
      <c r="G699" s="304">
        <f t="shared" ref="G699:I700" si="367">G700</f>
        <v>8346127.9499999993</v>
      </c>
      <c r="H699" s="304">
        <f t="shared" si="367"/>
        <v>8029741.9500000002</v>
      </c>
      <c r="I699" s="46">
        <f t="shared" si="367"/>
        <v>8029741.9500000002</v>
      </c>
      <c r="M699" s="258"/>
      <c r="N699" s="258"/>
      <c r="O699" s="162"/>
      <c r="AE699" s="54"/>
      <c r="AF699" s="54"/>
    </row>
    <row r="700" spans="1:32">
      <c r="A700" s="144">
        <v>684</v>
      </c>
      <c r="B700" s="305" t="s">
        <v>85</v>
      </c>
      <c r="C700" s="34">
        <v>957</v>
      </c>
      <c r="D700" s="34" t="s">
        <v>86</v>
      </c>
      <c r="E700" s="34"/>
      <c r="F700" s="144"/>
      <c r="G700" s="134">
        <f t="shared" si="367"/>
        <v>8346127.9499999993</v>
      </c>
      <c r="H700" s="134">
        <f t="shared" si="367"/>
        <v>8029741.9500000002</v>
      </c>
      <c r="I700" s="29">
        <f t="shared" si="367"/>
        <v>8029741.9500000002</v>
      </c>
      <c r="M700" s="258"/>
      <c r="N700" s="258"/>
      <c r="O700" s="162"/>
      <c r="AE700" s="54"/>
      <c r="AF700" s="54"/>
    </row>
    <row r="701" spans="1:32" ht="30">
      <c r="A701" s="144">
        <v>685</v>
      </c>
      <c r="B701" s="143" t="s">
        <v>89</v>
      </c>
      <c r="C701" s="34">
        <v>957</v>
      </c>
      <c r="D701" s="34" t="s">
        <v>90</v>
      </c>
      <c r="E701" s="34"/>
      <c r="F701" s="144"/>
      <c r="G701" s="134">
        <f t="shared" ref="G701:I702" si="368">G702</f>
        <v>8346127.9499999993</v>
      </c>
      <c r="H701" s="134">
        <f t="shared" si="368"/>
        <v>8029741.9500000002</v>
      </c>
      <c r="I701" s="29">
        <f t="shared" si="368"/>
        <v>8029741.9500000002</v>
      </c>
      <c r="M701" s="258"/>
      <c r="N701" s="258"/>
      <c r="O701" s="162"/>
      <c r="AE701" s="54"/>
      <c r="AF701" s="54"/>
    </row>
    <row r="702" spans="1:32">
      <c r="A702" s="144">
        <v>686</v>
      </c>
      <c r="B702" s="143" t="s">
        <v>320</v>
      </c>
      <c r="C702" s="34">
        <v>957</v>
      </c>
      <c r="D702" s="34" t="s">
        <v>90</v>
      </c>
      <c r="E702" s="34">
        <v>8100000000</v>
      </c>
      <c r="F702" s="144"/>
      <c r="G702" s="134">
        <f t="shared" si="368"/>
        <v>8346127.9499999993</v>
      </c>
      <c r="H702" s="134">
        <f t="shared" si="368"/>
        <v>8029741.9500000002</v>
      </c>
      <c r="I702" s="29">
        <f t="shared" si="368"/>
        <v>8029741.9500000002</v>
      </c>
      <c r="M702" s="258"/>
      <c r="N702" s="258"/>
      <c r="O702" s="162"/>
      <c r="AE702" s="54"/>
      <c r="AF702" s="54"/>
    </row>
    <row r="703" spans="1:32">
      <c r="A703" s="144">
        <v>687</v>
      </c>
      <c r="B703" s="307" t="s">
        <v>279</v>
      </c>
      <c r="C703" s="34">
        <v>957</v>
      </c>
      <c r="D703" s="34" t="s">
        <v>90</v>
      </c>
      <c r="E703" s="34">
        <v>8110000000</v>
      </c>
      <c r="F703" s="144"/>
      <c r="G703" s="134">
        <f t="shared" ref="G703:H703" si="369">G704+G714+G717+G711</f>
        <v>8346127.9499999993</v>
      </c>
      <c r="H703" s="134">
        <f t="shared" si="369"/>
        <v>8029741.9500000002</v>
      </c>
      <c r="I703" s="29">
        <f t="shared" ref="I703" si="370">I704+I714+I717+I711</f>
        <v>8029741.9500000002</v>
      </c>
      <c r="M703" s="258"/>
      <c r="N703" s="258"/>
      <c r="O703" s="162"/>
      <c r="AE703" s="54"/>
      <c r="AF703" s="54"/>
    </row>
    <row r="704" spans="1:32" ht="45">
      <c r="A704" s="144">
        <v>688</v>
      </c>
      <c r="B704" s="306" t="s">
        <v>323</v>
      </c>
      <c r="C704" s="34">
        <v>957</v>
      </c>
      <c r="D704" s="34" t="s">
        <v>90</v>
      </c>
      <c r="E704" s="34">
        <v>8110000210</v>
      </c>
      <c r="F704" s="144"/>
      <c r="G704" s="134">
        <f>G705+G707+G709</f>
        <v>3042571.27</v>
      </c>
      <c r="H704" s="134">
        <f t="shared" ref="H704" si="371">H705+H707+H709</f>
        <v>2916016.87</v>
      </c>
      <c r="I704" s="29">
        <f t="shared" ref="I704" si="372">I705+I707+I709</f>
        <v>2916016.87</v>
      </c>
      <c r="M704" s="258"/>
      <c r="N704" s="258"/>
      <c r="O704" s="162"/>
      <c r="AE704" s="54"/>
      <c r="AF704" s="54"/>
    </row>
    <row r="705" spans="1:32" ht="45">
      <c r="A705" s="144">
        <v>689</v>
      </c>
      <c r="B705" s="143" t="s">
        <v>15</v>
      </c>
      <c r="C705" s="34">
        <v>957</v>
      </c>
      <c r="D705" s="34" t="s">
        <v>90</v>
      </c>
      <c r="E705" s="34">
        <v>8110000210</v>
      </c>
      <c r="F705" s="144">
        <v>100</v>
      </c>
      <c r="G705" s="134">
        <f t="shared" ref="G705:I705" si="373">G706</f>
        <v>2515161.27</v>
      </c>
      <c r="H705" s="134">
        <f t="shared" si="373"/>
        <v>2388606.87</v>
      </c>
      <c r="I705" s="29">
        <f t="shared" si="373"/>
        <v>2388606.87</v>
      </c>
      <c r="M705" s="258"/>
      <c r="N705" s="258"/>
      <c r="O705" s="162"/>
      <c r="AE705" s="54"/>
      <c r="AF705" s="54"/>
    </row>
    <row r="706" spans="1:32">
      <c r="A706" s="144">
        <v>690</v>
      </c>
      <c r="B706" s="143" t="s">
        <v>16</v>
      </c>
      <c r="C706" s="34">
        <v>957</v>
      </c>
      <c r="D706" s="34" t="s">
        <v>90</v>
      </c>
      <c r="E706" s="34">
        <v>8110000210</v>
      </c>
      <c r="F706" s="144">
        <v>120</v>
      </c>
      <c r="G706" s="134">
        <f>2388606.87+126554.4</f>
        <v>2515161.27</v>
      </c>
      <c r="H706" s="134">
        <v>2388606.87</v>
      </c>
      <c r="I706" s="29">
        <v>2388606.87</v>
      </c>
      <c r="M706" s="258"/>
      <c r="N706" s="258"/>
      <c r="O706" s="162"/>
      <c r="AE706" s="54"/>
      <c r="AF706" s="54"/>
    </row>
    <row r="707" spans="1:32">
      <c r="A707" s="144">
        <v>691</v>
      </c>
      <c r="B707" s="143" t="s">
        <v>20</v>
      </c>
      <c r="C707" s="34">
        <v>957</v>
      </c>
      <c r="D707" s="34" t="s">
        <v>90</v>
      </c>
      <c r="E707" s="34">
        <v>8110000210</v>
      </c>
      <c r="F707" s="144">
        <v>200</v>
      </c>
      <c r="G707" s="134">
        <f t="shared" ref="G707:I707" si="374">G708</f>
        <v>526910</v>
      </c>
      <c r="H707" s="134">
        <f t="shared" si="374"/>
        <v>526910</v>
      </c>
      <c r="I707" s="29">
        <f t="shared" si="374"/>
        <v>526910</v>
      </c>
      <c r="M707" s="258"/>
      <c r="N707" s="258"/>
      <c r="O707" s="162"/>
      <c r="AE707" s="54"/>
      <c r="AF707" s="54"/>
    </row>
    <row r="708" spans="1:32">
      <c r="A708" s="144">
        <v>692</v>
      </c>
      <c r="B708" s="143" t="s">
        <v>21</v>
      </c>
      <c r="C708" s="34">
        <v>957</v>
      </c>
      <c r="D708" s="34" t="s">
        <v>90</v>
      </c>
      <c r="E708" s="34">
        <v>8110000210</v>
      </c>
      <c r="F708" s="144">
        <v>240</v>
      </c>
      <c r="G708" s="134">
        <f>479410+47500</f>
        <v>526910</v>
      </c>
      <c r="H708" s="134">
        <v>526910</v>
      </c>
      <c r="I708" s="157">
        <v>526910</v>
      </c>
      <c r="M708" s="258"/>
      <c r="N708" s="258"/>
      <c r="O708" s="162"/>
      <c r="AE708" s="54"/>
      <c r="AF708" s="54"/>
    </row>
    <row r="709" spans="1:32">
      <c r="A709" s="144">
        <v>693</v>
      </c>
      <c r="B709" s="143" t="s">
        <v>32</v>
      </c>
      <c r="C709" s="34">
        <v>957</v>
      </c>
      <c r="D709" s="34" t="s">
        <v>90</v>
      </c>
      <c r="E709" s="34">
        <v>8110000210</v>
      </c>
      <c r="F709" s="144">
        <v>800</v>
      </c>
      <c r="G709" s="134">
        <f t="shared" ref="G709" si="375">G710</f>
        <v>500</v>
      </c>
      <c r="H709" s="134">
        <f t="shared" ref="H709:I709" si="376">H710</f>
        <v>500</v>
      </c>
      <c r="I709" s="29">
        <f t="shared" si="376"/>
        <v>500</v>
      </c>
      <c r="M709" s="258"/>
      <c r="N709" s="258"/>
      <c r="O709" s="162"/>
      <c r="AE709" s="54"/>
      <c r="AF709" s="54"/>
    </row>
    <row r="710" spans="1:32">
      <c r="A710" s="144">
        <v>694</v>
      </c>
      <c r="B710" s="143" t="s">
        <v>80</v>
      </c>
      <c r="C710" s="34">
        <v>957</v>
      </c>
      <c r="D710" s="34" t="s">
        <v>90</v>
      </c>
      <c r="E710" s="34">
        <v>8110000210</v>
      </c>
      <c r="F710" s="144">
        <v>850</v>
      </c>
      <c r="G710" s="134">
        <v>500</v>
      </c>
      <c r="H710" s="134">
        <v>500</v>
      </c>
      <c r="I710" s="29">
        <v>500</v>
      </c>
      <c r="M710" s="258"/>
      <c r="N710" s="258"/>
      <c r="O710" s="162"/>
      <c r="AE710" s="54"/>
      <c r="AF710" s="54"/>
    </row>
    <row r="711" spans="1:32" ht="45">
      <c r="A711" s="144">
        <v>695</v>
      </c>
      <c r="B711" s="306" t="s">
        <v>324</v>
      </c>
      <c r="C711" s="34" t="s">
        <v>322</v>
      </c>
      <c r="D711" s="34" t="s">
        <v>90</v>
      </c>
      <c r="E711" s="34">
        <v>8110000220</v>
      </c>
      <c r="F711" s="144"/>
      <c r="G711" s="134">
        <f t="shared" ref="G711:I711" si="377">G712</f>
        <v>633193.85</v>
      </c>
      <c r="H711" s="134">
        <f t="shared" si="377"/>
        <v>569916.65</v>
      </c>
      <c r="I711" s="29">
        <f t="shared" si="377"/>
        <v>569916.65</v>
      </c>
      <c r="M711" s="258"/>
      <c r="N711" s="258"/>
      <c r="O711" s="162"/>
      <c r="AE711" s="54"/>
      <c r="AF711" s="54"/>
    </row>
    <row r="712" spans="1:32" ht="45">
      <c r="A712" s="144">
        <v>696</v>
      </c>
      <c r="B712" s="143" t="s">
        <v>15</v>
      </c>
      <c r="C712" s="34" t="s">
        <v>322</v>
      </c>
      <c r="D712" s="34" t="s">
        <v>90</v>
      </c>
      <c r="E712" s="34">
        <v>8110000220</v>
      </c>
      <c r="F712" s="144">
        <v>100</v>
      </c>
      <c r="G712" s="134">
        <f t="shared" ref="G712:I712" si="378">G713</f>
        <v>633193.85</v>
      </c>
      <c r="H712" s="134">
        <f t="shared" si="378"/>
        <v>569916.65</v>
      </c>
      <c r="I712" s="29">
        <f t="shared" si="378"/>
        <v>569916.65</v>
      </c>
      <c r="M712" s="258"/>
      <c r="N712" s="258"/>
      <c r="O712" s="162"/>
      <c r="AE712" s="54"/>
      <c r="AF712" s="54"/>
    </row>
    <row r="713" spans="1:32">
      <c r="A713" s="144">
        <v>697</v>
      </c>
      <c r="B713" s="143" t="s">
        <v>16</v>
      </c>
      <c r="C713" s="34" t="s">
        <v>322</v>
      </c>
      <c r="D713" s="34" t="s">
        <v>90</v>
      </c>
      <c r="E713" s="34">
        <v>8110000220</v>
      </c>
      <c r="F713" s="144">
        <v>120</v>
      </c>
      <c r="G713" s="134">
        <f>569916.65+63277.2</f>
        <v>633193.85</v>
      </c>
      <c r="H713" s="134">
        <v>569916.65</v>
      </c>
      <c r="I713" s="157">
        <v>569916.65</v>
      </c>
      <c r="M713" s="258"/>
      <c r="N713" s="258"/>
      <c r="O713" s="162"/>
      <c r="AE713" s="54"/>
      <c r="AF713" s="54"/>
    </row>
    <row r="714" spans="1:32" ht="46.5" customHeight="1">
      <c r="A714" s="144">
        <v>698</v>
      </c>
      <c r="B714" s="307" t="s">
        <v>396</v>
      </c>
      <c r="C714" s="34">
        <v>957</v>
      </c>
      <c r="D714" s="34" t="s">
        <v>90</v>
      </c>
      <c r="E714" s="34">
        <v>8110000230</v>
      </c>
      <c r="F714" s="144"/>
      <c r="G714" s="134">
        <f t="shared" ref="G714:I714" si="379">G715</f>
        <v>2322127</v>
      </c>
      <c r="H714" s="134">
        <f t="shared" si="379"/>
        <v>2258849.7999999998</v>
      </c>
      <c r="I714" s="29">
        <f t="shared" si="379"/>
        <v>2258849.7999999998</v>
      </c>
      <c r="M714" s="258"/>
      <c r="N714" s="258"/>
      <c r="O714" s="162"/>
      <c r="AE714" s="54"/>
      <c r="AF714" s="54"/>
    </row>
    <row r="715" spans="1:32" ht="45">
      <c r="A715" s="144">
        <v>699</v>
      </c>
      <c r="B715" s="143" t="s">
        <v>15</v>
      </c>
      <c r="C715" s="34">
        <v>957</v>
      </c>
      <c r="D715" s="34" t="s">
        <v>90</v>
      </c>
      <c r="E715" s="34">
        <v>8110000230</v>
      </c>
      <c r="F715" s="144">
        <v>100</v>
      </c>
      <c r="G715" s="134">
        <f t="shared" ref="G715:I715" si="380">G716</f>
        <v>2322127</v>
      </c>
      <c r="H715" s="134">
        <f t="shared" si="380"/>
        <v>2258849.7999999998</v>
      </c>
      <c r="I715" s="29">
        <f t="shared" si="380"/>
        <v>2258849.7999999998</v>
      </c>
      <c r="M715" s="258"/>
      <c r="N715" s="258"/>
      <c r="O715" s="162"/>
      <c r="AE715" s="54"/>
      <c r="AF715" s="54"/>
    </row>
    <row r="716" spans="1:32">
      <c r="A716" s="144">
        <v>700</v>
      </c>
      <c r="B716" s="143" t="s">
        <v>16</v>
      </c>
      <c r="C716" s="34">
        <v>957</v>
      </c>
      <c r="D716" s="34" t="s">
        <v>90</v>
      </c>
      <c r="E716" s="34">
        <v>8110000230</v>
      </c>
      <c r="F716" s="144">
        <v>120</v>
      </c>
      <c r="G716" s="134">
        <f>2258849.8+63277.2</f>
        <v>2322127</v>
      </c>
      <c r="H716" s="134">
        <v>2258849.7999999998</v>
      </c>
      <c r="I716" s="157">
        <v>2258849.7999999998</v>
      </c>
      <c r="M716" s="258"/>
      <c r="N716" s="258"/>
      <c r="O716" s="162"/>
      <c r="AE716" s="54"/>
      <c r="AF716" s="54"/>
    </row>
    <row r="717" spans="1:32">
      <c r="A717" s="144">
        <v>701</v>
      </c>
      <c r="B717" s="306" t="s">
        <v>321</v>
      </c>
      <c r="C717" s="34">
        <v>957</v>
      </c>
      <c r="D717" s="34" t="s">
        <v>90</v>
      </c>
      <c r="E717" s="34">
        <v>8110000240</v>
      </c>
      <c r="F717" s="144"/>
      <c r="G717" s="134">
        <f t="shared" ref="G717:I717" si="381">G718</f>
        <v>2348235.83</v>
      </c>
      <c r="H717" s="134">
        <f t="shared" si="381"/>
        <v>2284958.63</v>
      </c>
      <c r="I717" s="29">
        <f t="shared" si="381"/>
        <v>2284958.63</v>
      </c>
      <c r="M717" s="258"/>
      <c r="N717" s="258"/>
      <c r="O717" s="162"/>
      <c r="AE717" s="54"/>
      <c r="AF717" s="54"/>
    </row>
    <row r="718" spans="1:32" ht="45">
      <c r="A718" s="144">
        <v>702</v>
      </c>
      <c r="B718" s="143" t="s">
        <v>15</v>
      </c>
      <c r="C718" s="34">
        <v>957</v>
      </c>
      <c r="D718" s="34" t="s">
        <v>90</v>
      </c>
      <c r="E718" s="34">
        <v>8110000240</v>
      </c>
      <c r="F718" s="144">
        <v>100</v>
      </c>
      <c r="G718" s="134">
        <f t="shared" ref="G718:I718" si="382">G719</f>
        <v>2348235.83</v>
      </c>
      <c r="H718" s="134">
        <f t="shared" si="382"/>
        <v>2284958.63</v>
      </c>
      <c r="I718" s="29">
        <f t="shared" si="382"/>
        <v>2284958.63</v>
      </c>
      <c r="M718" s="258"/>
      <c r="N718" s="258"/>
      <c r="O718" s="162"/>
      <c r="AE718" s="54"/>
      <c r="AF718" s="54"/>
    </row>
    <row r="719" spans="1:32">
      <c r="A719" s="144">
        <v>703</v>
      </c>
      <c r="B719" s="143" t="s">
        <v>16</v>
      </c>
      <c r="C719" s="34">
        <v>957</v>
      </c>
      <c r="D719" s="34" t="s">
        <v>90</v>
      </c>
      <c r="E719" s="34">
        <v>8110000240</v>
      </c>
      <c r="F719" s="144">
        <v>120</v>
      </c>
      <c r="G719" s="134">
        <f>2284958.63+63277.2</f>
        <v>2348235.83</v>
      </c>
      <c r="H719" s="134">
        <v>2284958.63</v>
      </c>
      <c r="I719" s="157">
        <v>2284958.63</v>
      </c>
      <c r="M719" s="258"/>
      <c r="N719" s="258"/>
      <c r="O719" s="162"/>
      <c r="AE719" s="54"/>
      <c r="AF719" s="54"/>
    </row>
    <row r="720" spans="1:32">
      <c r="A720" s="144">
        <v>704</v>
      </c>
      <c r="B720" s="306" t="s">
        <v>132</v>
      </c>
      <c r="C720" s="144"/>
      <c r="D720" s="144"/>
      <c r="E720" s="34"/>
      <c r="F720" s="144"/>
      <c r="G720" s="134">
        <v>0</v>
      </c>
      <c r="H720" s="134">
        <v>22582387</v>
      </c>
      <c r="I720" s="157">
        <v>43748000</v>
      </c>
      <c r="M720" s="258"/>
      <c r="N720" s="258"/>
      <c r="O720" s="162"/>
      <c r="AE720" s="54"/>
      <c r="AF720" s="54"/>
    </row>
    <row r="721" spans="1:32" ht="24" customHeight="1">
      <c r="A721" s="288">
        <v>705</v>
      </c>
      <c r="B721" s="36" t="s">
        <v>82</v>
      </c>
      <c r="C721" s="37"/>
      <c r="D721" s="37"/>
      <c r="E721" s="223"/>
      <c r="F721" s="37"/>
      <c r="G721" s="38">
        <f>G17+G122+G362+G377+G394+G411+G431+G586+G681+G699+G720</f>
        <v>1459016341.7</v>
      </c>
      <c r="H721" s="38">
        <f>H17+H122+H362+H377+H394+H411+H431+H586+H681+H699+H720</f>
        <v>1344990765.6300004</v>
      </c>
      <c r="I721" s="38">
        <f>I17+I122+I362+I377+I394+I411+I431+I586+I681+I699+I720</f>
        <v>1342549495.76</v>
      </c>
      <c r="M721" s="258"/>
      <c r="N721" s="258"/>
      <c r="O721" s="162"/>
      <c r="AE721" s="54"/>
      <c r="AF721" s="54"/>
    </row>
    <row r="722" spans="1:32">
      <c r="C722" s="39"/>
      <c r="D722" s="39"/>
      <c r="E722" s="224"/>
      <c r="G722" s="161"/>
      <c r="H722" s="142"/>
      <c r="I722" s="142"/>
    </row>
    <row r="723" spans="1:32">
      <c r="G723" s="161"/>
      <c r="H723" s="161"/>
      <c r="I723" s="161"/>
      <c r="J723" s="276"/>
    </row>
    <row r="724" spans="1:32">
      <c r="H724" s="161"/>
      <c r="I724" s="161"/>
    </row>
    <row r="725" spans="1:32">
      <c r="G725" s="161"/>
      <c r="H725" s="161"/>
      <c r="I725" s="161"/>
    </row>
    <row r="726" spans="1:32">
      <c r="G726" s="161"/>
      <c r="H726" s="161"/>
      <c r="I726" s="159"/>
    </row>
    <row r="727" spans="1:32">
      <c r="G727" s="161"/>
      <c r="H727" s="161"/>
      <c r="I727" s="161"/>
    </row>
    <row r="728" spans="1:32">
      <c r="G728" s="161"/>
    </row>
    <row r="729" spans="1:32">
      <c r="G729" s="161"/>
    </row>
  </sheetData>
  <mergeCells count="2">
    <mergeCell ref="A11:I11"/>
    <mergeCell ref="A12:I12"/>
  </mergeCells>
  <printOptions horizontalCentered="1"/>
  <pageMargins left="0.15748031496062992" right="0.23622047244094491" top="0.43307086614173229" bottom="0.3937007874015748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2"/>
  <sheetViews>
    <sheetView tabSelected="1" topLeftCell="A259" zoomScaleNormal="100" zoomScaleSheetLayoutView="95" workbookViewId="0">
      <selection activeCell="F18" sqref="F18"/>
    </sheetView>
  </sheetViews>
  <sheetFormatPr defaultRowHeight="15"/>
  <cols>
    <col min="1" max="1" width="5.85546875" style="147" customWidth="1"/>
    <col min="2" max="2" width="72.42578125" style="15" customWidth="1"/>
    <col min="3" max="3" width="15.140625" style="16" customWidth="1"/>
    <col min="4" max="4" width="9.140625" style="16" customWidth="1"/>
    <col min="5" max="5" width="12.28515625" style="16" customWidth="1"/>
    <col min="6" max="6" width="20.28515625" style="16" customWidth="1"/>
    <col min="7" max="7" width="20.85546875" style="16" customWidth="1"/>
    <col min="8" max="8" width="21.5703125" style="13" customWidth="1"/>
    <col min="9" max="16384" width="9.140625" style="13"/>
  </cols>
  <sheetData>
    <row r="1" spans="1:9">
      <c r="G1" s="17" t="s">
        <v>151</v>
      </c>
      <c r="H1" s="16"/>
    </row>
    <row r="2" spans="1:9">
      <c r="G2" s="19" t="s">
        <v>152</v>
      </c>
      <c r="H2" s="16"/>
    </row>
    <row r="3" spans="1:9">
      <c r="G3" s="19" t="s">
        <v>246</v>
      </c>
      <c r="H3" s="16"/>
    </row>
    <row r="4" spans="1:9">
      <c r="G4" s="19" t="s">
        <v>424</v>
      </c>
      <c r="H4" s="16"/>
    </row>
    <row r="5" spans="1:9">
      <c r="G5" s="19"/>
      <c r="H5" s="16"/>
    </row>
    <row r="6" spans="1:9">
      <c r="G6" s="17" t="s">
        <v>151</v>
      </c>
      <c r="H6" s="16"/>
    </row>
    <row r="7" spans="1:9">
      <c r="G7" s="19" t="s">
        <v>152</v>
      </c>
      <c r="H7" s="18"/>
    </row>
    <row r="8" spans="1:9">
      <c r="G8" s="19" t="s">
        <v>246</v>
      </c>
      <c r="H8" s="18"/>
    </row>
    <row r="9" spans="1:9">
      <c r="E9" s="19"/>
      <c r="G9" s="19" t="s">
        <v>609</v>
      </c>
      <c r="H9" s="18"/>
    </row>
    <row r="10" spans="1:9">
      <c r="E10" s="19"/>
      <c r="G10" s="19"/>
      <c r="H10" s="18"/>
    </row>
    <row r="11" spans="1:9" ht="42.75" customHeight="1">
      <c r="A11" s="360" t="s">
        <v>527</v>
      </c>
      <c r="B11" s="360"/>
      <c r="C11" s="360"/>
      <c r="D11" s="360"/>
      <c r="E11" s="360"/>
      <c r="F11" s="360"/>
      <c r="G11" s="360"/>
      <c r="H11" s="360"/>
    </row>
    <row r="12" spans="1:9">
      <c r="A12" s="22"/>
      <c r="B12" s="23"/>
      <c r="C12" s="24"/>
      <c r="D12" s="24"/>
      <c r="E12" s="24"/>
      <c r="H12" s="233" t="s">
        <v>523</v>
      </c>
      <c r="I12" s="230"/>
    </row>
    <row r="13" spans="1:9" ht="45">
      <c r="A13" s="25" t="s">
        <v>0</v>
      </c>
      <c r="B13" s="25" t="s">
        <v>1</v>
      </c>
      <c r="C13" s="26" t="s">
        <v>4</v>
      </c>
      <c r="D13" s="26" t="s">
        <v>5</v>
      </c>
      <c r="E13" s="26" t="s">
        <v>83</v>
      </c>
      <c r="F13" s="41" t="s">
        <v>454</v>
      </c>
      <c r="G13" s="41" t="s">
        <v>475</v>
      </c>
      <c r="H13" s="41" t="s">
        <v>519</v>
      </c>
      <c r="I13" s="231"/>
    </row>
    <row r="14" spans="1:9">
      <c r="A14" s="28"/>
      <c r="B14" s="26" t="s">
        <v>6</v>
      </c>
      <c r="C14" s="26" t="s">
        <v>7</v>
      </c>
      <c r="D14" s="26" t="s">
        <v>8</v>
      </c>
      <c r="E14" s="26" t="s">
        <v>9</v>
      </c>
      <c r="F14" s="229">
        <v>5</v>
      </c>
      <c r="G14" s="229">
        <v>6</v>
      </c>
      <c r="H14" s="232">
        <v>7</v>
      </c>
    </row>
    <row r="15" spans="1:9" ht="42.75">
      <c r="A15" s="146">
        <v>1</v>
      </c>
      <c r="B15" s="72" t="s">
        <v>247</v>
      </c>
      <c r="C15" s="50" t="s">
        <v>359</v>
      </c>
      <c r="D15" s="30"/>
      <c r="E15" s="31"/>
      <c r="F15" s="52">
        <f>F16+F19</f>
        <v>169800</v>
      </c>
      <c r="G15" s="52">
        <f>G16+G19</f>
        <v>120000</v>
      </c>
      <c r="H15" s="52">
        <f>H16+H19</f>
        <v>120000</v>
      </c>
    </row>
    <row r="16" spans="1:9" ht="30">
      <c r="A16" s="146">
        <v>2</v>
      </c>
      <c r="B16" s="73" t="s">
        <v>314</v>
      </c>
      <c r="C16" s="47" t="s">
        <v>353</v>
      </c>
      <c r="D16" s="59"/>
      <c r="E16" s="47"/>
      <c r="F16" s="42">
        <f>F18+F17</f>
        <v>79800</v>
      </c>
      <c r="G16" s="42">
        <f t="shared" ref="G16:H16" si="0">G18</f>
        <v>30000</v>
      </c>
      <c r="H16" s="42">
        <f t="shared" si="0"/>
        <v>30000</v>
      </c>
    </row>
    <row r="17" spans="1:8" ht="86.25" customHeight="1">
      <c r="A17" s="248">
        <v>3</v>
      </c>
      <c r="B17" s="251" t="str">
        <f>'приложение 4'!B91</f>
        <v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v>
      </c>
      <c r="C17" s="252" t="s">
        <v>546</v>
      </c>
      <c r="D17" s="248">
        <v>540</v>
      </c>
      <c r="E17" s="252" t="s">
        <v>545</v>
      </c>
      <c r="F17" s="29">
        <f>'приложение 4'!G91</f>
        <v>49800</v>
      </c>
      <c r="G17" s="29">
        <f>'приложение 4'!H91</f>
        <v>0</v>
      </c>
      <c r="H17" s="29">
        <f>'приложение 4'!I91</f>
        <v>0</v>
      </c>
    </row>
    <row r="18" spans="1:8" ht="75">
      <c r="A18" s="146">
        <v>4</v>
      </c>
      <c r="B18" s="62" t="s">
        <v>357</v>
      </c>
      <c r="C18" s="184" t="str">
        <f>'приложение 4'!E674</f>
        <v>0110080070</v>
      </c>
      <c r="D18" s="70">
        <v>610</v>
      </c>
      <c r="E18" s="71" t="s">
        <v>252</v>
      </c>
      <c r="F18" s="51">
        <f>'приложение 4'!G676</f>
        <v>30000</v>
      </c>
      <c r="G18" s="51">
        <f>'приложение 4'!H676</f>
        <v>30000</v>
      </c>
      <c r="H18" s="51">
        <f>'приложение 4'!I676</f>
        <v>30000</v>
      </c>
    </row>
    <row r="19" spans="1:8" ht="47.25">
      <c r="A19" s="146">
        <v>5</v>
      </c>
      <c r="B19" s="74" t="s">
        <v>315</v>
      </c>
      <c r="C19" s="47" t="s">
        <v>355</v>
      </c>
      <c r="D19" s="59"/>
      <c r="E19" s="47"/>
      <c r="F19" s="42">
        <f t="shared" ref="F19:H19" si="1">F20</f>
        <v>90000</v>
      </c>
      <c r="G19" s="42">
        <f t="shared" si="1"/>
        <v>90000</v>
      </c>
      <c r="H19" s="42">
        <f t="shared" si="1"/>
        <v>90000</v>
      </c>
    </row>
    <row r="20" spans="1:8" ht="94.5">
      <c r="A20" s="146">
        <v>6</v>
      </c>
      <c r="B20" s="67" t="s">
        <v>358</v>
      </c>
      <c r="C20" s="92" t="s">
        <v>356</v>
      </c>
      <c r="D20" s="30">
        <v>610</v>
      </c>
      <c r="E20" s="31" t="s">
        <v>252</v>
      </c>
      <c r="F20" s="29">
        <f>'приложение 4'!G680</f>
        <v>90000</v>
      </c>
      <c r="G20" s="29">
        <f>'приложение 4'!H680</f>
        <v>90000</v>
      </c>
      <c r="H20" s="29">
        <f>'приложение 4'!I680</f>
        <v>90000</v>
      </c>
    </row>
    <row r="21" spans="1:8" ht="28.5">
      <c r="A21" s="146">
        <v>7</v>
      </c>
      <c r="B21" s="79" t="s">
        <v>218</v>
      </c>
      <c r="C21" s="49" t="str">
        <f>'приложение 4'!E380</f>
        <v>0200000000</v>
      </c>
      <c r="D21" s="49"/>
      <c r="E21" s="50"/>
      <c r="F21" s="52">
        <f>F22+F25+F31+F34+F47</f>
        <v>138779580.91</v>
      </c>
      <c r="G21" s="52">
        <f>G22+G25+G31+G34+G47</f>
        <v>126858506.41</v>
      </c>
      <c r="H21" s="52">
        <f>H22+H25+H31+H34+H47</f>
        <v>103150696.09999999</v>
      </c>
    </row>
    <row r="22" spans="1:8">
      <c r="A22" s="146">
        <v>8</v>
      </c>
      <c r="B22" s="44" t="s">
        <v>69</v>
      </c>
      <c r="C22" s="59" t="str">
        <f>'приложение 4'!E620</f>
        <v>0210000000</v>
      </c>
      <c r="D22" s="49"/>
      <c r="E22" s="50"/>
      <c r="F22" s="42">
        <f t="shared" ref="F22:G22" si="2">F23+F24</f>
        <v>32042543.719999999</v>
      </c>
      <c r="G22" s="42">
        <f t="shared" si="2"/>
        <v>30117191.719999999</v>
      </c>
      <c r="H22" s="42">
        <f t="shared" ref="H22" si="3">H23+H24</f>
        <v>30115691.719999999</v>
      </c>
    </row>
    <row r="23" spans="1:8" ht="45">
      <c r="A23" s="146">
        <v>9</v>
      </c>
      <c r="B23" s="65" t="s">
        <v>348</v>
      </c>
      <c r="C23" s="30" t="str">
        <f>'приложение 4'!E621</f>
        <v>0210000610</v>
      </c>
      <c r="D23" s="30">
        <v>610</v>
      </c>
      <c r="E23" s="31" t="s">
        <v>122</v>
      </c>
      <c r="F23" s="29">
        <f>'приложение 4'!G623</f>
        <v>26753962.719999999</v>
      </c>
      <c r="G23" s="29">
        <f>'приложение 4'!H623</f>
        <v>25163980.719999999</v>
      </c>
      <c r="H23" s="29">
        <f>'приложение 4'!I623</f>
        <v>25162480.719999999</v>
      </c>
    </row>
    <row r="24" spans="1:8" ht="45">
      <c r="A24" s="146">
        <v>10</v>
      </c>
      <c r="B24" s="65" t="s">
        <v>349</v>
      </c>
      <c r="C24" s="30" t="str">
        <f>'приложение 4'!E624</f>
        <v>0210000630</v>
      </c>
      <c r="D24" s="30">
        <v>610</v>
      </c>
      <c r="E24" s="31" t="s">
        <v>122</v>
      </c>
      <c r="F24" s="29">
        <f>'приложение 4'!G626</f>
        <v>5288581</v>
      </c>
      <c r="G24" s="29">
        <f>'приложение 4'!H626</f>
        <v>4953211</v>
      </c>
      <c r="H24" s="29">
        <f>'приложение 4'!I626</f>
        <v>4953211</v>
      </c>
    </row>
    <row r="25" spans="1:8">
      <c r="A25" s="146">
        <v>11</v>
      </c>
      <c r="B25" s="93" t="s">
        <v>61</v>
      </c>
      <c r="C25" s="47" t="s">
        <v>190</v>
      </c>
      <c r="D25" s="49"/>
      <c r="E25" s="50"/>
      <c r="F25" s="42">
        <f>F26+F27+F29+F30+F28</f>
        <v>3286229.2199999997</v>
      </c>
      <c r="G25" s="42">
        <f t="shared" ref="G25:H25" si="4">G26+G27+G29+G30+G28</f>
        <v>3036332.7199999997</v>
      </c>
      <c r="H25" s="42">
        <f t="shared" si="4"/>
        <v>3036332.7199999997</v>
      </c>
    </row>
    <row r="26" spans="1:8">
      <c r="A26" s="343">
        <v>12</v>
      </c>
      <c r="B26" s="344" t="s">
        <v>62</v>
      </c>
      <c r="C26" s="343" t="str">
        <f>'приложение 4'!E383</f>
        <v>0220000610</v>
      </c>
      <c r="D26" s="30">
        <v>110</v>
      </c>
      <c r="E26" s="31" t="s">
        <v>94</v>
      </c>
      <c r="F26" s="29">
        <f>'приложение 4'!G384</f>
        <v>2176274.2199999997</v>
      </c>
      <c r="G26" s="29">
        <f>'приложение 4'!H384</f>
        <v>1985177.72</v>
      </c>
      <c r="H26" s="29">
        <f>'приложение 4'!I384</f>
        <v>1985177.72</v>
      </c>
    </row>
    <row r="27" spans="1:8">
      <c r="A27" s="343"/>
      <c r="B27" s="344"/>
      <c r="C27" s="343"/>
      <c r="D27" s="30">
        <v>240</v>
      </c>
      <c r="E27" s="31" t="s">
        <v>94</v>
      </c>
      <c r="F27" s="29">
        <f>'приложение 4'!G386</f>
        <v>688055</v>
      </c>
      <c r="G27" s="29">
        <f>'приложение 4'!H386</f>
        <v>688055</v>
      </c>
      <c r="H27" s="29">
        <f>'приложение 4'!I386</f>
        <v>688055</v>
      </c>
    </row>
    <row r="28" spans="1:8">
      <c r="A28" s="343"/>
      <c r="B28" s="344"/>
      <c r="C28" s="343"/>
      <c r="D28" s="30">
        <v>850</v>
      </c>
      <c r="E28" s="31" t="s">
        <v>94</v>
      </c>
      <c r="F28" s="29">
        <f>'приложение 4'!G388</f>
        <v>500</v>
      </c>
      <c r="G28" s="29">
        <f>'приложение 4'!H388</f>
        <v>500</v>
      </c>
      <c r="H28" s="29">
        <f>'приложение 4'!I388</f>
        <v>500</v>
      </c>
    </row>
    <row r="29" spans="1:8">
      <c r="A29" s="343">
        <v>13</v>
      </c>
      <c r="B29" s="351" t="s">
        <v>64</v>
      </c>
      <c r="C29" s="343" t="str">
        <f>'приложение 4'!E389</f>
        <v>0220075190</v>
      </c>
      <c r="D29" s="30">
        <v>110</v>
      </c>
      <c r="E29" s="31" t="s">
        <v>94</v>
      </c>
      <c r="F29" s="29">
        <f>'приложение 4'!G391</f>
        <v>366554.6</v>
      </c>
      <c r="G29" s="29">
        <f>'приложение 4'!H391</f>
        <v>307754.59999999998</v>
      </c>
      <c r="H29" s="29">
        <f>'приложение 4'!I391</f>
        <v>307754.59999999998</v>
      </c>
    </row>
    <row r="30" spans="1:8">
      <c r="A30" s="343"/>
      <c r="B30" s="351"/>
      <c r="C30" s="343"/>
      <c r="D30" s="30">
        <v>240</v>
      </c>
      <c r="E30" s="31" t="s">
        <v>94</v>
      </c>
      <c r="F30" s="29">
        <f>'приложение 4'!G393</f>
        <v>54845.4</v>
      </c>
      <c r="G30" s="29">
        <f>'приложение 4'!H393</f>
        <v>54845.4</v>
      </c>
      <c r="H30" s="29">
        <f>'приложение 4'!I393</f>
        <v>54845.4</v>
      </c>
    </row>
    <row r="31" spans="1:8">
      <c r="A31" s="146">
        <v>14</v>
      </c>
      <c r="B31" s="75" t="s">
        <v>70</v>
      </c>
      <c r="C31" s="47" t="s">
        <v>215</v>
      </c>
      <c r="D31" s="49"/>
      <c r="E31" s="50"/>
      <c r="F31" s="42">
        <f>F32+F33</f>
        <v>51173774.519999996</v>
      </c>
      <c r="G31" s="42">
        <f t="shared" ref="G31:H31" si="5">G32+G33</f>
        <v>48906647.519999996</v>
      </c>
      <c r="H31" s="42">
        <f t="shared" si="5"/>
        <v>25201537.210000001</v>
      </c>
    </row>
    <row r="32" spans="1:8" ht="45">
      <c r="A32" s="146">
        <v>15</v>
      </c>
      <c r="B32" s="65" t="s">
        <v>350</v>
      </c>
      <c r="C32" s="30" t="str">
        <f>'приложение 4'!E628</f>
        <v>0230000650</v>
      </c>
      <c r="D32" s="30">
        <v>610</v>
      </c>
      <c r="E32" s="31" t="s">
        <v>122</v>
      </c>
      <c r="F32" s="29">
        <f>'приложение 4'!G630</f>
        <v>27373664.52</v>
      </c>
      <c r="G32" s="29">
        <f>'приложение 4'!H630</f>
        <v>25201537.52</v>
      </c>
      <c r="H32" s="29">
        <f>'приложение 4'!I630</f>
        <v>25201537.210000001</v>
      </c>
    </row>
    <row r="33" spans="1:8" ht="45">
      <c r="A33" s="146">
        <v>16</v>
      </c>
      <c r="B33" s="65" t="s">
        <v>351</v>
      </c>
      <c r="C33" s="30" t="str">
        <f>'приложение 4'!E631</f>
        <v>0230000660</v>
      </c>
      <c r="D33" s="30">
        <v>610</v>
      </c>
      <c r="E33" s="31" t="s">
        <v>122</v>
      </c>
      <c r="F33" s="29">
        <f>'приложение 4'!G633</f>
        <v>23800110</v>
      </c>
      <c r="G33" s="29">
        <f>'приложение 4'!H633</f>
        <v>23705110</v>
      </c>
      <c r="H33" s="29">
        <f>'приложение 4'!I633</f>
        <v>0</v>
      </c>
    </row>
    <row r="34" spans="1:8" ht="30">
      <c r="A34" s="146">
        <v>17</v>
      </c>
      <c r="B34" s="93" t="s">
        <v>66</v>
      </c>
      <c r="C34" s="47" t="s">
        <v>208</v>
      </c>
      <c r="D34" s="49"/>
      <c r="E34" s="50"/>
      <c r="F34" s="42">
        <f>F35+F39+F40+F41+F43+F44+F42+F36+F45+F46+F37+F38</f>
        <v>52237033.450000003</v>
      </c>
      <c r="G34" s="42">
        <f t="shared" ref="G34:H34" si="6">G35+G39+G40+G41+G43+G44+G42+G36+G45+G46+G37+G38</f>
        <v>44798334.450000003</v>
      </c>
      <c r="H34" s="42">
        <f t="shared" si="6"/>
        <v>44797134.450000003</v>
      </c>
    </row>
    <row r="35" spans="1:8" ht="60">
      <c r="A35" s="146">
        <v>18</v>
      </c>
      <c r="B35" s="68" t="s">
        <v>344</v>
      </c>
      <c r="C35" s="30" t="str">
        <f>'приложение 4'!E591</f>
        <v>0240000610</v>
      </c>
      <c r="D35" s="30">
        <v>610</v>
      </c>
      <c r="E35" s="31" t="s">
        <v>167</v>
      </c>
      <c r="F35" s="29">
        <f>'приложение 4'!G593</f>
        <v>42251065.210000001</v>
      </c>
      <c r="G35" s="29">
        <f>'приложение 4'!H593</f>
        <v>39840204.210000001</v>
      </c>
      <c r="H35" s="29">
        <f>'приложение 4'!I593</f>
        <v>39840204.210000001</v>
      </c>
    </row>
    <row r="36" spans="1:8" ht="48.75" customHeight="1">
      <c r="A36" s="185">
        <v>19</v>
      </c>
      <c r="B36" s="188" t="s">
        <v>468</v>
      </c>
      <c r="C36" s="183" t="str">
        <f>'приложение 4'!E596</f>
        <v>024А155191</v>
      </c>
      <c r="D36" s="185">
        <v>610</v>
      </c>
      <c r="E36" s="183" t="s">
        <v>167</v>
      </c>
      <c r="F36" s="29">
        <f>'приложение 4'!G596</f>
        <v>3720910</v>
      </c>
      <c r="G36" s="29">
        <f>'приложение 4'!H596</f>
        <v>0</v>
      </c>
      <c r="H36" s="29">
        <f>'приложение 4'!I596</f>
        <v>0</v>
      </c>
    </row>
    <row r="37" spans="1:8" ht="62.25" customHeight="1">
      <c r="A37" s="248">
        <v>20</v>
      </c>
      <c r="B37" s="249" t="s">
        <v>554</v>
      </c>
      <c r="C37" s="252" t="s">
        <v>550</v>
      </c>
      <c r="D37" s="248">
        <v>610</v>
      </c>
      <c r="E37" s="252" t="s">
        <v>122</v>
      </c>
      <c r="F37" s="29">
        <f>'приложение 4'!G650</f>
        <v>50000</v>
      </c>
      <c r="G37" s="29">
        <f>'приложение 4'!H650</f>
        <v>0</v>
      </c>
      <c r="H37" s="29">
        <f>'приложение 4'!I650</f>
        <v>0</v>
      </c>
    </row>
    <row r="38" spans="1:8" ht="63.75" customHeight="1">
      <c r="A38" s="248">
        <v>21</v>
      </c>
      <c r="B38" s="249" t="s">
        <v>553</v>
      </c>
      <c r="C38" s="252" t="s">
        <v>552</v>
      </c>
      <c r="D38" s="248">
        <v>610</v>
      </c>
      <c r="E38" s="252" t="s">
        <v>122</v>
      </c>
      <c r="F38" s="29">
        <f>'приложение 4'!G653</f>
        <v>100000</v>
      </c>
      <c r="G38" s="29">
        <f>'приложение 4'!H653</f>
        <v>0</v>
      </c>
      <c r="H38" s="29">
        <f>'приложение 4'!I653</f>
        <v>0</v>
      </c>
    </row>
    <row r="39" spans="1:8" ht="23.25" customHeight="1">
      <c r="A39" s="343">
        <v>22</v>
      </c>
      <c r="B39" s="344" t="s">
        <v>361</v>
      </c>
      <c r="C39" s="343" t="str">
        <f>'приложение 4'!E659</f>
        <v>0240000610</v>
      </c>
      <c r="D39" s="30">
        <v>110</v>
      </c>
      <c r="E39" s="31" t="s">
        <v>123</v>
      </c>
      <c r="F39" s="29">
        <f>'приложение 4'!G661</f>
        <v>4347960.24</v>
      </c>
      <c r="G39" s="29">
        <f>'приложение 4'!H661</f>
        <v>4037902.24</v>
      </c>
      <c r="H39" s="29">
        <f>'приложение 4'!I661</f>
        <v>4037902.24</v>
      </c>
    </row>
    <row r="40" spans="1:8" ht="20.25" customHeight="1">
      <c r="A40" s="343"/>
      <c r="B40" s="344"/>
      <c r="C40" s="343"/>
      <c r="D40" s="30">
        <v>240</v>
      </c>
      <c r="E40" s="31" t="s">
        <v>123</v>
      </c>
      <c r="F40" s="29">
        <f>'приложение 4'!G663</f>
        <v>421928</v>
      </c>
      <c r="G40" s="29">
        <f>'приложение 4'!H663</f>
        <v>421928</v>
      </c>
      <c r="H40" s="29">
        <f>'приложение 4'!I663</f>
        <v>421928</v>
      </c>
    </row>
    <row r="41" spans="1:8" ht="31.5" customHeight="1">
      <c r="A41" s="343"/>
      <c r="B41" s="344"/>
      <c r="C41" s="343"/>
      <c r="D41" s="30">
        <v>850</v>
      </c>
      <c r="E41" s="31" t="s">
        <v>123</v>
      </c>
      <c r="F41" s="29">
        <f>'приложение 4'!G665</f>
        <v>500</v>
      </c>
      <c r="G41" s="29">
        <f>'приложение 4'!H665</f>
        <v>500</v>
      </c>
      <c r="H41" s="29">
        <f>'приложение 4'!I665</f>
        <v>500</v>
      </c>
    </row>
    <row r="42" spans="1:8" ht="48" customHeight="1">
      <c r="A42" s="180">
        <v>23</v>
      </c>
      <c r="B42" s="181" t="s">
        <v>464</v>
      </c>
      <c r="C42" s="182" t="str">
        <f>'приложение 4'!E638</f>
        <v>02400L5190</v>
      </c>
      <c r="D42" s="180">
        <v>610</v>
      </c>
      <c r="E42" s="182" t="s">
        <v>122</v>
      </c>
      <c r="F42" s="29">
        <f>'приложение 4'!G638</f>
        <v>147000</v>
      </c>
      <c r="G42" s="29">
        <f>'приложение 4'!H638</f>
        <v>152000</v>
      </c>
      <c r="H42" s="29">
        <f>'приложение 4'!I638</f>
        <v>150800</v>
      </c>
    </row>
    <row r="43" spans="1:8" ht="34.5" customHeight="1">
      <c r="A43" s="343">
        <v>24</v>
      </c>
      <c r="B43" s="350" t="s">
        <v>394</v>
      </c>
      <c r="C43" s="31" t="s">
        <v>292</v>
      </c>
      <c r="D43" s="30">
        <v>610</v>
      </c>
      <c r="E43" s="31" t="s">
        <v>122</v>
      </c>
      <c r="F43" s="29">
        <f>'приложение 4'!G637</f>
        <v>100000</v>
      </c>
      <c r="G43" s="29">
        <f>'приложение 4'!H637</f>
        <v>100000</v>
      </c>
      <c r="H43" s="29">
        <f>'приложение 4'!I637</f>
        <v>100000</v>
      </c>
    </row>
    <row r="44" spans="1:8" ht="31.5" customHeight="1">
      <c r="A44" s="343"/>
      <c r="B44" s="350"/>
      <c r="C44" s="31" t="str">
        <f>'приложение 4'!E646</f>
        <v>02400S4880</v>
      </c>
      <c r="D44" s="30">
        <v>610</v>
      </c>
      <c r="E44" s="31" t="s">
        <v>122</v>
      </c>
      <c r="F44" s="29">
        <f>'приложение 4'!G646</f>
        <v>245800</v>
      </c>
      <c r="G44" s="29">
        <f>'приложение 4'!H646</f>
        <v>245800</v>
      </c>
      <c r="H44" s="29">
        <f>'приложение 4'!I646</f>
        <v>245800</v>
      </c>
    </row>
    <row r="45" spans="1:8" ht="63" customHeight="1">
      <c r="A45" s="206">
        <v>25</v>
      </c>
      <c r="B45" s="210" t="s">
        <v>505</v>
      </c>
      <c r="C45" s="211" t="str">
        <f>'приложение 4'!E644</f>
        <v>02400S4880</v>
      </c>
      <c r="D45" s="206">
        <v>610</v>
      </c>
      <c r="E45" s="211" t="s">
        <v>122</v>
      </c>
      <c r="F45" s="29">
        <f>'приложение 4'!G643</f>
        <v>696970</v>
      </c>
      <c r="G45" s="29">
        <f>'приложение 4'!H643</f>
        <v>0</v>
      </c>
      <c r="H45" s="29">
        <f>'приложение 4'!I643</f>
        <v>0</v>
      </c>
    </row>
    <row r="46" spans="1:8" ht="63" customHeight="1">
      <c r="A46" s="226">
        <v>26</v>
      </c>
      <c r="B46" s="227" t="str">
        <f>'приложение 4'!B647</f>
        <v>Реализация образовательного наставнического проекта в области культуры и искусства "Историческое погружение "От Рыбенского острога до …"</v>
      </c>
      <c r="C46" s="228" t="str">
        <f>'приложение 4'!E649</f>
        <v>0240080060</v>
      </c>
      <c r="D46" s="226">
        <v>610</v>
      </c>
      <c r="E46" s="228" t="s">
        <v>122</v>
      </c>
      <c r="F46" s="29">
        <f>'приложение 4'!G649</f>
        <v>154900</v>
      </c>
      <c r="G46" s="29">
        <f>'приложение 4'!H649</f>
        <v>0</v>
      </c>
      <c r="H46" s="29">
        <f>'приложение 4'!I649</f>
        <v>0</v>
      </c>
    </row>
    <row r="47" spans="1:8" ht="15.75">
      <c r="A47" s="146">
        <v>27</v>
      </c>
      <c r="B47" s="48" t="s">
        <v>239</v>
      </c>
      <c r="C47" s="47" t="s">
        <v>240</v>
      </c>
      <c r="D47" s="49"/>
      <c r="E47" s="50"/>
      <c r="F47" s="42">
        <f>F48</f>
        <v>40000</v>
      </c>
      <c r="G47" s="42">
        <f t="shared" ref="G47:H47" si="7">G48</f>
        <v>0</v>
      </c>
      <c r="H47" s="42">
        <f t="shared" si="7"/>
        <v>0</v>
      </c>
    </row>
    <row r="48" spans="1:8" ht="63">
      <c r="A48" s="174">
        <v>28</v>
      </c>
      <c r="B48" s="177" t="s">
        <v>462</v>
      </c>
      <c r="C48" s="176" t="str">
        <f>'приложение 4'!E669</f>
        <v>0250094800</v>
      </c>
      <c r="D48" s="174">
        <v>610</v>
      </c>
      <c r="E48" s="175" t="s">
        <v>123</v>
      </c>
      <c r="F48" s="51">
        <f>'приложение 4'!G669</f>
        <v>40000</v>
      </c>
      <c r="G48" s="51">
        <f>'приложение 4'!H669</f>
        <v>0</v>
      </c>
      <c r="H48" s="51">
        <f>'приложение 4'!I669</f>
        <v>0</v>
      </c>
    </row>
    <row r="49" spans="1:8" ht="42.75">
      <c r="A49" s="146">
        <v>29</v>
      </c>
      <c r="B49" s="79" t="s">
        <v>219</v>
      </c>
      <c r="C49" s="50" t="s">
        <v>184</v>
      </c>
      <c r="D49" s="30"/>
      <c r="E49" s="31"/>
      <c r="F49" s="52">
        <f>F50+F59+F84+F93</f>
        <v>806031564.86000001</v>
      </c>
      <c r="G49" s="52">
        <f>G50+G59+G84+G93</f>
        <v>724118455</v>
      </c>
      <c r="H49" s="52">
        <f>H50+H59+H84+H93</f>
        <v>724492184.29999995</v>
      </c>
    </row>
    <row r="50" spans="1:8">
      <c r="A50" s="146">
        <v>30</v>
      </c>
      <c r="B50" s="93" t="s">
        <v>135</v>
      </c>
      <c r="C50" s="47" t="s">
        <v>194</v>
      </c>
      <c r="D50" s="49"/>
      <c r="E50" s="50"/>
      <c r="F50" s="42">
        <f>F51+F52+F53+F54+F57+F58+F55+F56</f>
        <v>233559927.20000002</v>
      </c>
      <c r="G50" s="42">
        <f t="shared" ref="G50:H50" si="8">G51+G52+G53+G54+G57+G58+G55+G56</f>
        <v>209000895</v>
      </c>
      <c r="H50" s="42">
        <f t="shared" si="8"/>
        <v>209000895</v>
      </c>
    </row>
    <row r="51" spans="1:8" ht="60">
      <c r="A51" s="146">
        <v>31</v>
      </c>
      <c r="B51" s="190" t="s">
        <v>332</v>
      </c>
      <c r="C51" s="30" t="str">
        <f>'приложение 4'!E436</f>
        <v>0310000610</v>
      </c>
      <c r="D51" s="30">
        <v>610</v>
      </c>
      <c r="E51" s="31" t="s">
        <v>116</v>
      </c>
      <c r="F51" s="51">
        <f>'приложение 4'!G438</f>
        <v>119620260</v>
      </c>
      <c r="G51" s="51">
        <f>'приложение 4'!H438</f>
        <v>109276060</v>
      </c>
      <c r="H51" s="51">
        <f>'приложение 4'!I438</f>
        <v>112276060</v>
      </c>
    </row>
    <row r="52" spans="1:8" ht="150">
      <c r="A52" s="146">
        <v>32</v>
      </c>
      <c r="B52" s="62" t="s">
        <v>333</v>
      </c>
      <c r="C52" s="30" t="str">
        <f>'приложение 4'!E445</f>
        <v>0310074080</v>
      </c>
      <c r="D52" s="30">
        <v>610</v>
      </c>
      <c r="E52" s="31" t="s">
        <v>116</v>
      </c>
      <c r="F52" s="51">
        <f>'приложение 4'!G445</f>
        <v>42591500</v>
      </c>
      <c r="G52" s="51">
        <f>'приложение 4'!H445</f>
        <v>39876300</v>
      </c>
      <c r="H52" s="51">
        <f>'приложение 4'!I445</f>
        <v>39876300</v>
      </c>
    </row>
    <row r="53" spans="1:8" ht="150">
      <c r="A53" s="146">
        <v>33</v>
      </c>
      <c r="B53" s="62" t="s">
        <v>334</v>
      </c>
      <c r="C53" s="30" t="str">
        <f>'приложение 4'!E448</f>
        <v>0310075880</v>
      </c>
      <c r="D53" s="30">
        <v>610</v>
      </c>
      <c r="E53" s="31" t="s">
        <v>116</v>
      </c>
      <c r="F53" s="51">
        <f>'приложение 4'!G450</f>
        <v>57982700</v>
      </c>
      <c r="G53" s="51">
        <f>'приложение 4'!H450</f>
        <v>54927800</v>
      </c>
      <c r="H53" s="51">
        <f>'приложение 4'!I450</f>
        <v>54927800</v>
      </c>
    </row>
    <row r="54" spans="1:8" ht="135">
      <c r="A54" s="146">
        <v>34</v>
      </c>
      <c r="B54" s="63" t="s">
        <v>335</v>
      </c>
      <c r="C54" s="30" t="str">
        <f>'приложение 4'!E451</f>
        <v>0310075540</v>
      </c>
      <c r="D54" s="30">
        <v>610</v>
      </c>
      <c r="E54" s="31" t="s">
        <v>116</v>
      </c>
      <c r="F54" s="51">
        <f>'приложение 4'!G453</f>
        <v>367200</v>
      </c>
      <c r="G54" s="51">
        <f>'приложение 4'!H453</f>
        <v>367200</v>
      </c>
      <c r="H54" s="51">
        <f>'приложение 4'!I453</f>
        <v>367200</v>
      </c>
    </row>
    <row r="55" spans="1:8" ht="58.5" customHeight="1">
      <c r="A55" s="274">
        <v>35</v>
      </c>
      <c r="B55" s="291" t="s">
        <v>582</v>
      </c>
      <c r="C55" s="273" t="s">
        <v>570</v>
      </c>
      <c r="D55" s="274">
        <v>610</v>
      </c>
      <c r="E55" s="273" t="s">
        <v>116</v>
      </c>
      <c r="F55" s="51">
        <f>'приложение 4'!G454</f>
        <v>400000</v>
      </c>
      <c r="G55" s="51">
        <f>'приложение 4'!H454</f>
        <v>0</v>
      </c>
      <c r="H55" s="51">
        <f>'приложение 4'!I454</f>
        <v>0</v>
      </c>
    </row>
    <row r="56" spans="1:8" ht="73.5" customHeight="1">
      <c r="A56" s="283">
        <v>36</v>
      </c>
      <c r="B56" s="284" t="s">
        <v>592</v>
      </c>
      <c r="C56" s="282" t="s">
        <v>591</v>
      </c>
      <c r="D56" s="283">
        <v>610</v>
      </c>
      <c r="E56" s="282" t="s">
        <v>116</v>
      </c>
      <c r="F56" s="51">
        <f>'приложение 4'!G458</f>
        <v>0</v>
      </c>
      <c r="G56" s="51">
        <f>'приложение 4'!H458</f>
        <v>3000000</v>
      </c>
      <c r="H56" s="51">
        <f>'приложение 4'!I458</f>
        <v>0</v>
      </c>
    </row>
    <row r="57" spans="1:8" ht="100.5" customHeight="1">
      <c r="A57" s="186">
        <v>37</v>
      </c>
      <c r="B57" s="187" t="str">
        <f>'приложение 4'!B442</f>
        <v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v>
      </c>
      <c r="C57" s="197" t="str">
        <f>'приложение 4'!E444</f>
        <v>03100S8400</v>
      </c>
      <c r="D57" s="198">
        <f>'приложение 4'!F444</f>
        <v>610</v>
      </c>
      <c r="E57" s="197" t="str">
        <f>'приложение 4'!D444</f>
        <v>0701</v>
      </c>
      <c r="F57" s="51">
        <f>'приложение 4'!G444</f>
        <v>10747731.84</v>
      </c>
      <c r="G57" s="51">
        <f>'приложение 4'!H444</f>
        <v>0</v>
      </c>
      <c r="H57" s="51">
        <f>'приложение 4'!I444</f>
        <v>0</v>
      </c>
    </row>
    <row r="58" spans="1:8" ht="100.5" customHeight="1">
      <c r="A58" s="218">
        <v>38</v>
      </c>
      <c r="B58" s="219" t="s">
        <v>508</v>
      </c>
      <c r="C58" s="216" t="str">
        <f>'приложение 4'!E439</f>
        <v>03100S5820</v>
      </c>
      <c r="D58" s="217">
        <v>610</v>
      </c>
      <c r="E58" s="216" t="s">
        <v>116</v>
      </c>
      <c r="F58" s="51">
        <f>'приложение 4'!G441</f>
        <v>1850535.36</v>
      </c>
      <c r="G58" s="51">
        <f>'приложение 4'!H441</f>
        <v>1553535</v>
      </c>
      <c r="H58" s="51">
        <f>'приложение 4'!I441</f>
        <v>1553535</v>
      </c>
    </row>
    <row r="59" spans="1:8">
      <c r="A59" s="146">
        <v>39</v>
      </c>
      <c r="B59" s="93" t="s">
        <v>136</v>
      </c>
      <c r="C59" s="47" t="s">
        <v>199</v>
      </c>
      <c r="D59" s="49"/>
      <c r="E59" s="50"/>
      <c r="F59" s="42">
        <f>F60+F61+F62+F63+F64+F65+F66+F67+F68+F69+F70+F73+F74+F78+F82+F72+F80+F79+F83+F81+F75+F76+F77</f>
        <v>499726976.86000007</v>
      </c>
      <c r="G59" s="42">
        <f t="shared" ref="G59:H59" si="9">G60+G61+G62+G63+G64+G65+G66+G67+G68+G69+G70+G73+G74+G78+G82+G72+G80+G79+G83+G81+G75+G76+G77</f>
        <v>448724923.20000005</v>
      </c>
      <c r="H59" s="42">
        <f t="shared" si="9"/>
        <v>449098652.50000006</v>
      </c>
    </row>
    <row r="60" spans="1:8" ht="60">
      <c r="A60" s="146">
        <v>40</v>
      </c>
      <c r="B60" s="56" t="s">
        <v>336</v>
      </c>
      <c r="C60" s="30" t="str">
        <f>'приложение 4'!E468</f>
        <v>0320000610</v>
      </c>
      <c r="D60" s="30">
        <v>610</v>
      </c>
      <c r="E60" s="31" t="s">
        <v>117</v>
      </c>
      <c r="F60" s="29">
        <f>'приложение 4'!G470</f>
        <v>194008540</v>
      </c>
      <c r="G60" s="29">
        <f>'приложение 4'!H470</f>
        <v>191793547</v>
      </c>
      <c r="H60" s="29">
        <f>'приложение 4'!I470</f>
        <v>191773051.94</v>
      </c>
    </row>
    <row r="61" spans="1:8" ht="45">
      <c r="A61" s="185">
        <v>41</v>
      </c>
      <c r="B61" s="189" t="s">
        <v>467</v>
      </c>
      <c r="C61" s="183" t="str">
        <f>'приложение 4'!E473</f>
        <v>03200L3030</v>
      </c>
      <c r="D61" s="185">
        <v>610</v>
      </c>
      <c r="E61" s="183" t="s">
        <v>117</v>
      </c>
      <c r="F61" s="29">
        <f>'приложение 4'!G473</f>
        <v>18701900</v>
      </c>
      <c r="G61" s="29">
        <f>'приложение 4'!H473</f>
        <v>18701900</v>
      </c>
      <c r="H61" s="29">
        <f>'приложение 4'!I473</f>
        <v>18701900</v>
      </c>
    </row>
    <row r="62" spans="1:8" ht="90">
      <c r="A62" s="146">
        <v>42</v>
      </c>
      <c r="B62" s="64" t="s">
        <v>337</v>
      </c>
      <c r="C62" s="30" t="str">
        <f>'приложение 4'!E482</f>
        <v>0320076490</v>
      </c>
      <c r="D62" s="30">
        <v>610</v>
      </c>
      <c r="E62" s="31" t="s">
        <v>117</v>
      </c>
      <c r="F62" s="29">
        <f>'приложение 4'!G482</f>
        <v>3998000</v>
      </c>
      <c r="G62" s="29">
        <f>'приложение 4'!H482</f>
        <v>3998000</v>
      </c>
      <c r="H62" s="29">
        <f>'приложение 4'!I482</f>
        <v>3998000</v>
      </c>
    </row>
    <row r="63" spans="1:8" ht="135">
      <c r="A63" s="146">
        <v>43</v>
      </c>
      <c r="B63" s="62" t="s">
        <v>338</v>
      </c>
      <c r="C63" s="30" t="str">
        <f>'приложение 4'!E483</f>
        <v>0320074090</v>
      </c>
      <c r="D63" s="30">
        <v>610</v>
      </c>
      <c r="E63" s="31" t="s">
        <v>117</v>
      </c>
      <c r="F63" s="29">
        <f>'приложение 4'!G485</f>
        <v>40757500</v>
      </c>
      <c r="G63" s="29">
        <f>'приложение 4'!H485</f>
        <v>42746900</v>
      </c>
      <c r="H63" s="29">
        <f>'приложение 4'!I485</f>
        <v>42746900</v>
      </c>
    </row>
    <row r="64" spans="1:8" ht="75">
      <c r="A64" s="146">
        <v>44</v>
      </c>
      <c r="B64" s="90" t="s">
        <v>362</v>
      </c>
      <c r="C64" s="31" t="str">
        <f>'приложение 4'!E492</f>
        <v>03200S5630</v>
      </c>
      <c r="D64" s="30">
        <v>610</v>
      </c>
      <c r="E64" s="31" t="s">
        <v>117</v>
      </c>
      <c r="F64" s="29">
        <f>'приложение 4'!G494</f>
        <v>2201710</v>
      </c>
      <c r="G64" s="29">
        <f>'приложение 4'!H494</f>
        <v>1843710</v>
      </c>
      <c r="H64" s="29">
        <f>'приложение 4'!I494</f>
        <v>1843710</v>
      </c>
    </row>
    <row r="65" spans="1:8" ht="55.5" customHeight="1">
      <c r="A65" s="343">
        <v>45</v>
      </c>
      <c r="B65" s="352" t="s">
        <v>339</v>
      </c>
      <c r="C65" s="343" t="str">
        <f>'приложение 4'!E495</f>
        <v>0320075640</v>
      </c>
      <c r="D65" s="30">
        <v>610</v>
      </c>
      <c r="E65" s="31" t="s">
        <v>117</v>
      </c>
      <c r="F65" s="29">
        <f>'приложение 4'!G497</f>
        <v>163337000</v>
      </c>
      <c r="G65" s="29">
        <f>'приложение 4'!H497</f>
        <v>164190636.78</v>
      </c>
      <c r="H65" s="29">
        <f>'приложение 4'!I497</f>
        <v>164190636.78</v>
      </c>
    </row>
    <row r="66" spans="1:8" ht="88.5" customHeight="1">
      <c r="A66" s="343"/>
      <c r="B66" s="352"/>
      <c r="C66" s="343"/>
      <c r="D66" s="30">
        <v>610</v>
      </c>
      <c r="E66" s="31" t="s">
        <v>167</v>
      </c>
      <c r="F66" s="29">
        <f>'приложение 4'!G526</f>
        <v>2163100</v>
      </c>
      <c r="G66" s="29">
        <f>'приложение 4'!H526</f>
        <v>2895663.22</v>
      </c>
      <c r="H66" s="29">
        <f>'приложение 4'!I526</f>
        <v>2895663.22</v>
      </c>
    </row>
    <row r="67" spans="1:8" ht="85.5" customHeight="1">
      <c r="A67" s="146">
        <v>46</v>
      </c>
      <c r="B67" s="199" t="str">
        <f>'приложение 4'!B486</f>
        <v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7" s="197" t="str">
        <f>'приложение 4'!E486</f>
        <v>03200S4300</v>
      </c>
      <c r="D67" s="198">
        <f>'приложение 4'!F488</f>
        <v>610</v>
      </c>
      <c r="E67" s="197" t="str">
        <f>'приложение 4'!D488</f>
        <v>0702</v>
      </c>
      <c r="F67" s="29">
        <f>'приложение 4'!G488</f>
        <v>0</v>
      </c>
      <c r="G67" s="29">
        <f>'приложение 4'!H488</f>
        <v>0</v>
      </c>
      <c r="H67" s="29">
        <f>'приложение 4'!I488</f>
        <v>0</v>
      </c>
    </row>
    <row r="68" spans="1:8" ht="82.5" customHeight="1">
      <c r="A68" s="167">
        <v>47</v>
      </c>
      <c r="B68" s="199" t="str">
        <f>'приложение 4'!B489</f>
        <v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8" s="197" t="str">
        <f>'приложение 4'!E489</f>
        <v>03200S5620</v>
      </c>
      <c r="D68" s="198">
        <f>'приложение 4'!F491</f>
        <v>610</v>
      </c>
      <c r="E68" s="197" t="str">
        <f>'приложение 4'!D491</f>
        <v>0702</v>
      </c>
      <c r="F68" s="29">
        <f>'приложение 4'!G491</f>
        <v>35721656.18</v>
      </c>
      <c r="G68" s="29">
        <f>'приложение 4'!H491</f>
        <v>0</v>
      </c>
      <c r="H68" s="29">
        <f>'приложение 4'!I491</f>
        <v>0</v>
      </c>
    </row>
    <row r="69" spans="1:8" ht="72.75" customHeight="1">
      <c r="A69" s="165">
        <v>48</v>
      </c>
      <c r="B69" s="166" t="s">
        <v>457</v>
      </c>
      <c r="C69" s="164" t="str">
        <f>'приложение 4'!E513</f>
        <v>0320088270</v>
      </c>
      <c r="D69" s="165">
        <v>610</v>
      </c>
      <c r="E69" s="164" t="s">
        <v>117</v>
      </c>
      <c r="F69" s="29">
        <f>'приложение 4'!G513</f>
        <v>480000</v>
      </c>
      <c r="G69" s="29">
        <f>'приложение 4'!H513</f>
        <v>480000</v>
      </c>
      <c r="H69" s="29">
        <f>'приложение 4'!I513</f>
        <v>480000</v>
      </c>
    </row>
    <row r="70" spans="1:8" ht="55.5" customHeight="1">
      <c r="A70" s="357">
        <v>49</v>
      </c>
      <c r="B70" s="373" t="s">
        <v>507</v>
      </c>
      <c r="C70" s="361" t="str">
        <f>'приложение 4'!E498</f>
        <v>032Е151720</v>
      </c>
      <c r="D70" s="357">
        <v>610</v>
      </c>
      <c r="E70" s="361" t="s">
        <v>117</v>
      </c>
      <c r="F70" s="339">
        <f>'приложение 4'!G500</f>
        <v>4435152.4800000004</v>
      </c>
      <c r="G70" s="339">
        <f>'приложение 4'!H500</f>
        <v>0</v>
      </c>
      <c r="H70" s="339">
        <f>'приложение 4'!I500</f>
        <v>0</v>
      </c>
    </row>
    <row r="71" spans="1:8" ht="72.75" customHeight="1">
      <c r="A71" s="359"/>
      <c r="B71" s="374"/>
      <c r="C71" s="363"/>
      <c r="D71" s="359"/>
      <c r="E71" s="363"/>
      <c r="F71" s="340"/>
      <c r="G71" s="340"/>
      <c r="H71" s="340"/>
    </row>
    <row r="72" spans="1:8" ht="93" customHeight="1">
      <c r="A72" s="241">
        <v>50</v>
      </c>
      <c r="B72" s="245" t="s">
        <v>533</v>
      </c>
      <c r="C72" s="240" t="str">
        <f>'приложение 4'!E476</f>
        <v>0320015210</v>
      </c>
      <c r="D72" s="241">
        <v>610</v>
      </c>
      <c r="E72" s="240" t="s">
        <v>117</v>
      </c>
      <c r="F72" s="242">
        <f>'приложение 4'!G476</f>
        <v>2727273</v>
      </c>
      <c r="G72" s="242">
        <f>'приложение 4'!H476</f>
        <v>0</v>
      </c>
      <c r="H72" s="242">
        <f>'приложение 4'!I476</f>
        <v>0</v>
      </c>
    </row>
    <row r="73" spans="1:8" ht="42" customHeight="1">
      <c r="A73" s="343">
        <v>51</v>
      </c>
      <c r="B73" s="351" t="s">
        <v>342</v>
      </c>
      <c r="C73" s="343" t="str">
        <f>'приложение 4'!E562</f>
        <v>0320075660</v>
      </c>
      <c r="D73" s="30">
        <v>610</v>
      </c>
      <c r="E73" s="354" t="s">
        <v>127</v>
      </c>
      <c r="F73" s="29">
        <f>'приложение 4'!G566</f>
        <v>7700400</v>
      </c>
      <c r="G73" s="29">
        <f>'приложение 4'!H566</f>
        <v>7700400</v>
      </c>
      <c r="H73" s="29">
        <f>'приложение 4'!I566</f>
        <v>7700400</v>
      </c>
    </row>
    <row r="74" spans="1:8" ht="48" customHeight="1">
      <c r="A74" s="343"/>
      <c r="B74" s="351"/>
      <c r="C74" s="343"/>
      <c r="D74" s="30">
        <v>320</v>
      </c>
      <c r="E74" s="354"/>
      <c r="F74" s="29">
        <f>'приложение 4'!G564</f>
        <v>0</v>
      </c>
      <c r="G74" s="29">
        <f>'приложение 4'!H564</f>
        <v>0</v>
      </c>
      <c r="H74" s="29">
        <f>'приложение 4'!I564</f>
        <v>0</v>
      </c>
    </row>
    <row r="75" spans="1:8" ht="81.75" customHeight="1">
      <c r="A75" s="270">
        <v>52</v>
      </c>
      <c r="B75" s="275" t="s">
        <v>579</v>
      </c>
      <c r="C75" s="273" t="s">
        <v>575</v>
      </c>
      <c r="D75" s="274">
        <v>610</v>
      </c>
      <c r="E75" s="273" t="s">
        <v>117</v>
      </c>
      <c r="F75" s="29">
        <f>'приложение 4'!G504</f>
        <v>3860720</v>
      </c>
      <c r="G75" s="29">
        <f>'приложение 4'!H504</f>
        <v>0</v>
      </c>
      <c r="H75" s="29">
        <f>'приложение 4'!I504</f>
        <v>0</v>
      </c>
    </row>
    <row r="76" spans="1:8" ht="66" customHeight="1">
      <c r="A76" s="270">
        <v>53</v>
      </c>
      <c r="B76" s="289" t="s">
        <v>607</v>
      </c>
      <c r="C76" s="273" t="s">
        <v>571</v>
      </c>
      <c r="D76" s="274">
        <v>610</v>
      </c>
      <c r="E76" s="273" t="s">
        <v>117</v>
      </c>
      <c r="F76" s="29">
        <f>'приложение 4'!G507</f>
        <v>800000</v>
      </c>
      <c r="G76" s="29">
        <f>'приложение 4'!H507</f>
        <v>0</v>
      </c>
      <c r="H76" s="29">
        <f>'приложение 4'!I507</f>
        <v>0</v>
      </c>
    </row>
    <row r="77" spans="1:8" ht="84.75" customHeight="1">
      <c r="A77" s="270">
        <v>54</v>
      </c>
      <c r="B77" s="275" t="s">
        <v>580</v>
      </c>
      <c r="C77" s="273" t="s">
        <v>576</v>
      </c>
      <c r="D77" s="274">
        <v>610</v>
      </c>
      <c r="E77" s="273" t="s">
        <v>117</v>
      </c>
      <c r="F77" s="134">
        <f>'приложение 4'!G510</f>
        <v>400000</v>
      </c>
      <c r="G77" s="134">
        <f>'приложение 4'!H510</f>
        <v>0</v>
      </c>
      <c r="H77" s="134">
        <f>'приложение 4'!I510</f>
        <v>0</v>
      </c>
    </row>
    <row r="78" spans="1:8" ht="73.5" customHeight="1">
      <c r="A78" s="357">
        <v>55</v>
      </c>
      <c r="B78" s="364" t="s">
        <v>418</v>
      </c>
      <c r="C78" s="119" t="str">
        <f>'приложение 4'!E567</f>
        <v>03200L3040</v>
      </c>
      <c r="D78" s="118">
        <v>610</v>
      </c>
      <c r="E78" s="119" t="s">
        <v>127</v>
      </c>
      <c r="F78" s="29">
        <f>'приложение 4'!G567</f>
        <v>10348848.85</v>
      </c>
      <c r="G78" s="29">
        <f>'приложение 4'!H567</f>
        <v>10310538.6</v>
      </c>
      <c r="H78" s="29">
        <f>'приложение 4'!I567</f>
        <v>10166562.960000001</v>
      </c>
    </row>
    <row r="79" spans="1:8" ht="51.75" customHeight="1">
      <c r="A79" s="359"/>
      <c r="B79" s="366"/>
      <c r="C79" s="252" t="s">
        <v>562</v>
      </c>
      <c r="D79" s="248">
        <v>610</v>
      </c>
      <c r="E79" s="252" t="s">
        <v>127</v>
      </c>
      <c r="F79" s="29">
        <f>'приложение 4'!G571</f>
        <v>48748.75</v>
      </c>
      <c r="G79" s="29">
        <f>'приложение 4'!H571</f>
        <v>87200</v>
      </c>
      <c r="H79" s="29">
        <f>'приложение 4'!I571</f>
        <v>87200</v>
      </c>
    </row>
    <row r="80" spans="1:8" ht="53.25" customHeight="1">
      <c r="A80" s="357">
        <v>56</v>
      </c>
      <c r="B80" s="377" t="s">
        <v>535</v>
      </c>
      <c r="C80" s="361" t="str">
        <f>'приложение 4'!E577</f>
        <v>03200S5830</v>
      </c>
      <c r="D80" s="244">
        <v>610</v>
      </c>
      <c r="E80" s="243" t="s">
        <v>127</v>
      </c>
      <c r="F80" s="29">
        <f>'приложение 4'!G577</f>
        <v>1208997.6000000001</v>
      </c>
      <c r="G80" s="29">
        <f>'приложение 4'!H577</f>
        <v>1398997.6</v>
      </c>
      <c r="H80" s="29">
        <f>'приложение 4'!I577</f>
        <v>1398997.6</v>
      </c>
    </row>
    <row r="81" spans="1:8" ht="33.75" customHeight="1">
      <c r="A81" s="359"/>
      <c r="B81" s="378"/>
      <c r="C81" s="363"/>
      <c r="D81" s="267">
        <v>320</v>
      </c>
      <c r="E81" s="266" t="s">
        <v>127</v>
      </c>
      <c r="F81" s="29">
        <f>'приложение 4'!G575</f>
        <v>190000</v>
      </c>
      <c r="G81" s="29">
        <f>'приложение 4'!H575</f>
        <v>0</v>
      </c>
      <c r="H81" s="29">
        <f>'приложение 4'!I575</f>
        <v>0</v>
      </c>
    </row>
    <row r="82" spans="1:8" ht="60.75" customHeight="1">
      <c r="A82" s="218">
        <v>57</v>
      </c>
      <c r="B82" s="220" t="str">
        <f>'приложение 4'!B477</f>
        <v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82" s="216" t="str">
        <f>'приложение 4'!E477</f>
        <v>03200S8450</v>
      </c>
      <c r="D82" s="218">
        <v>610</v>
      </c>
      <c r="E82" s="216" t="s">
        <v>117</v>
      </c>
      <c r="F82" s="29">
        <f>'приложение 4'!G479</f>
        <v>4060000</v>
      </c>
      <c r="G82" s="29">
        <f>'приложение 4'!H479</f>
        <v>0</v>
      </c>
      <c r="H82" s="29">
        <f>'приложение 4'!I479</f>
        <v>0</v>
      </c>
    </row>
    <row r="83" spans="1:8" ht="60.75" customHeight="1">
      <c r="A83" s="267">
        <v>58</v>
      </c>
      <c r="B83" s="268" t="str">
        <f>'приложение 4'!B501</f>
        <v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83" s="266" t="str">
        <f>'приложение 4'!E503</f>
        <v>032ЕВ51790</v>
      </c>
      <c r="D83" s="267">
        <v>610</v>
      </c>
      <c r="E83" s="266" t="s">
        <v>117</v>
      </c>
      <c r="F83" s="29">
        <f>'приложение 4'!G503</f>
        <v>2577430</v>
      </c>
      <c r="G83" s="29">
        <f>'приложение 4'!H503</f>
        <v>2577430</v>
      </c>
      <c r="H83" s="29">
        <f>'приложение 4'!I503</f>
        <v>3115630</v>
      </c>
    </row>
    <row r="84" spans="1:8">
      <c r="A84" s="146">
        <v>59</v>
      </c>
      <c r="B84" s="93" t="s">
        <v>137</v>
      </c>
      <c r="C84" s="47" t="s">
        <v>203</v>
      </c>
      <c r="D84" s="49"/>
      <c r="E84" s="50"/>
      <c r="F84" s="42">
        <f>F85+F86+F87+F88+F89+F91+F92+F90</f>
        <v>38322665.799999997</v>
      </c>
      <c r="G84" s="42">
        <f t="shared" ref="G84:H84" si="10">G85+G86+G87+G88+G89+G91+G92+G90</f>
        <v>33444040.800000001</v>
      </c>
      <c r="H84" s="42">
        <f t="shared" si="10"/>
        <v>33444040.800000001</v>
      </c>
    </row>
    <row r="85" spans="1:8" ht="60">
      <c r="A85" s="146">
        <v>60</v>
      </c>
      <c r="B85" s="56" t="s">
        <v>343</v>
      </c>
      <c r="C85" s="30" t="str">
        <f>'приложение 4'!E528</f>
        <v>0330000660</v>
      </c>
      <c r="D85" s="30">
        <v>610</v>
      </c>
      <c r="E85" s="31" t="s">
        <v>167</v>
      </c>
      <c r="F85" s="29">
        <f>'приложение 4'!G530</f>
        <v>31177465.799999997</v>
      </c>
      <c r="G85" s="29">
        <f>'приложение 4'!H530</f>
        <v>33444040.800000001</v>
      </c>
      <c r="H85" s="29">
        <f>'приложение 4'!I530</f>
        <v>33444040.800000001</v>
      </c>
    </row>
    <row r="86" spans="1:8">
      <c r="A86" s="357">
        <v>61</v>
      </c>
      <c r="B86" s="364" t="s">
        <v>449</v>
      </c>
      <c r="C86" s="361" t="s">
        <v>428</v>
      </c>
      <c r="D86" s="135">
        <v>610</v>
      </c>
      <c r="E86" s="136" t="s">
        <v>167</v>
      </c>
      <c r="F86" s="29">
        <f>'приложение 4'!G533</f>
        <v>5620566.6699999999</v>
      </c>
      <c r="G86" s="29">
        <f>'приложение 4'!H533</f>
        <v>0</v>
      </c>
      <c r="H86" s="29">
        <f>'приложение 4'!I533</f>
        <v>0</v>
      </c>
    </row>
    <row r="87" spans="1:8">
      <c r="A87" s="358"/>
      <c r="B87" s="365"/>
      <c r="C87" s="362"/>
      <c r="D87" s="141">
        <v>620</v>
      </c>
      <c r="E87" s="140" t="s">
        <v>167</v>
      </c>
      <c r="F87" s="29">
        <f>'приложение 4'!G534</f>
        <v>20600</v>
      </c>
      <c r="G87" s="29">
        <f>'приложение 4'!H534</f>
        <v>0</v>
      </c>
      <c r="H87" s="29">
        <f>'приложение 4'!I534</f>
        <v>0</v>
      </c>
    </row>
    <row r="88" spans="1:8">
      <c r="A88" s="358"/>
      <c r="B88" s="365"/>
      <c r="C88" s="362"/>
      <c r="D88" s="141">
        <v>630</v>
      </c>
      <c r="E88" s="140" t="s">
        <v>167</v>
      </c>
      <c r="F88" s="29">
        <f>'приложение 4'!G535</f>
        <v>20600</v>
      </c>
      <c r="G88" s="29">
        <f>'приложение 4'!H535</f>
        <v>0</v>
      </c>
      <c r="H88" s="29">
        <f>'приложение 4'!I535</f>
        <v>0</v>
      </c>
    </row>
    <row r="89" spans="1:8">
      <c r="A89" s="359"/>
      <c r="B89" s="366"/>
      <c r="C89" s="363"/>
      <c r="D89" s="141">
        <v>810</v>
      </c>
      <c r="E89" s="140" t="s">
        <v>167</v>
      </c>
      <c r="F89" s="29">
        <f>'приложение 4'!G537</f>
        <v>20600</v>
      </c>
      <c r="G89" s="29">
        <f>'приложение 4'!H537</f>
        <v>0</v>
      </c>
      <c r="H89" s="29">
        <f>'приложение 4'!I537</f>
        <v>0</v>
      </c>
    </row>
    <row r="90" spans="1:8" ht="62.25" customHeight="1">
      <c r="A90" s="271">
        <v>62</v>
      </c>
      <c r="B90" s="292" t="s">
        <v>608</v>
      </c>
      <c r="C90" s="272" t="s">
        <v>574</v>
      </c>
      <c r="D90" s="274">
        <v>610</v>
      </c>
      <c r="E90" s="273" t="s">
        <v>167</v>
      </c>
      <c r="F90" s="29">
        <f>'приложение 4'!G538</f>
        <v>100000</v>
      </c>
      <c r="G90" s="29">
        <f>'приложение 4'!H538</f>
        <v>0</v>
      </c>
      <c r="H90" s="29">
        <f>'приложение 4'!I538</f>
        <v>0</v>
      </c>
    </row>
    <row r="91" spans="1:8" ht="98.25" customHeight="1">
      <c r="A91" s="146">
        <v>63</v>
      </c>
      <c r="B91" s="199" t="str">
        <f>'приложение 4'!B541</f>
        <v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v>
      </c>
      <c r="C91" s="197" t="str">
        <f>'приложение 4'!E543</f>
        <v>03300S4370</v>
      </c>
      <c r="D91" s="198">
        <f>'приложение 4'!F543</f>
        <v>610</v>
      </c>
      <c r="E91" s="197" t="str">
        <f>'приложение 4'!D541</f>
        <v>0703</v>
      </c>
      <c r="F91" s="29">
        <f>'приложение 4'!G543</f>
        <v>0</v>
      </c>
      <c r="G91" s="29">
        <f>'приложение 4'!H543</f>
        <v>0</v>
      </c>
      <c r="H91" s="29">
        <f>'приложение 4'!I543</f>
        <v>0</v>
      </c>
    </row>
    <row r="92" spans="1:8" ht="98.25" customHeight="1">
      <c r="A92" s="248">
        <v>64</v>
      </c>
      <c r="B92" s="254" t="s">
        <v>564</v>
      </c>
      <c r="C92" s="252" t="s">
        <v>563</v>
      </c>
      <c r="D92" s="253">
        <v>610</v>
      </c>
      <c r="E92" s="252" t="s">
        <v>167</v>
      </c>
      <c r="F92" s="29">
        <f>'приложение 4'!G544</f>
        <v>1362833.33</v>
      </c>
      <c r="G92" s="29">
        <f>'приложение 4'!H544</f>
        <v>0</v>
      </c>
      <c r="H92" s="29">
        <f>'приложение 4'!I544</f>
        <v>0</v>
      </c>
    </row>
    <row r="93" spans="1:8">
      <c r="A93" s="146">
        <v>65</v>
      </c>
      <c r="B93" s="93" t="s">
        <v>55</v>
      </c>
      <c r="C93" s="59" t="s">
        <v>56</v>
      </c>
      <c r="D93" s="59"/>
      <c r="E93" s="47"/>
      <c r="F93" s="42">
        <f>F94+F95+F98+F99+F100+F101+F97+F96</f>
        <v>34421995</v>
      </c>
      <c r="G93" s="42">
        <f t="shared" ref="G93:H93" si="11">G94+G95+G98+G99+G100+G101+G97+G96</f>
        <v>32948596</v>
      </c>
      <c r="H93" s="42">
        <f t="shared" si="11"/>
        <v>32948596</v>
      </c>
    </row>
    <row r="94" spans="1:8">
      <c r="A94" s="343">
        <v>66</v>
      </c>
      <c r="B94" s="344" t="s">
        <v>340</v>
      </c>
      <c r="C94" s="343" t="str">
        <f>'приложение 4'!E550</f>
        <v>0340000610</v>
      </c>
      <c r="D94" s="30">
        <v>110</v>
      </c>
      <c r="E94" s="31" t="s">
        <v>119</v>
      </c>
      <c r="F94" s="29">
        <f>'приложение 4'!G552</f>
        <v>24706065</v>
      </c>
      <c r="G94" s="29">
        <f>'приложение 4'!H552</f>
        <v>23485766</v>
      </c>
      <c r="H94" s="29">
        <f>'приложение 4'!I552</f>
        <v>23485766</v>
      </c>
    </row>
    <row r="95" spans="1:8">
      <c r="A95" s="343"/>
      <c r="B95" s="344"/>
      <c r="C95" s="343"/>
      <c r="D95" s="30">
        <v>240</v>
      </c>
      <c r="E95" s="31" t="s">
        <v>119</v>
      </c>
      <c r="F95" s="29">
        <f>'приложение 4'!G554</f>
        <v>3163630</v>
      </c>
      <c r="G95" s="29">
        <f>'приложение 4'!H554</f>
        <v>3163630</v>
      </c>
      <c r="H95" s="29">
        <f>'приложение 4'!I554</f>
        <v>3163630</v>
      </c>
    </row>
    <row r="96" spans="1:8">
      <c r="A96" s="343"/>
      <c r="B96" s="344"/>
      <c r="C96" s="343"/>
      <c r="D96" s="30">
        <v>830</v>
      </c>
      <c r="E96" s="31" t="s">
        <v>119</v>
      </c>
      <c r="F96" s="29">
        <f>'приложение 4'!G556</f>
        <v>5000</v>
      </c>
      <c r="G96" s="29">
        <f>'приложение 4'!H556</f>
        <v>5000</v>
      </c>
      <c r="H96" s="29">
        <f>'приложение 4'!I556</f>
        <v>5000</v>
      </c>
    </row>
    <row r="97" spans="1:8">
      <c r="A97" s="343"/>
      <c r="B97" s="344"/>
      <c r="C97" s="343"/>
      <c r="D97" s="30">
        <v>850</v>
      </c>
      <c r="E97" s="31" t="s">
        <v>119</v>
      </c>
      <c r="F97" s="29">
        <f>'приложение 4'!G557</f>
        <v>45000</v>
      </c>
      <c r="G97" s="29">
        <f>'приложение 4'!H557</f>
        <v>45000</v>
      </c>
      <c r="H97" s="29">
        <f>'приложение 4'!I557</f>
        <v>45000</v>
      </c>
    </row>
    <row r="98" spans="1:8">
      <c r="A98" s="343">
        <v>67</v>
      </c>
      <c r="B98" s="351" t="s">
        <v>149</v>
      </c>
      <c r="C98" s="343" t="str">
        <f>'приложение 4'!E308</f>
        <v>0340075520</v>
      </c>
      <c r="D98" s="30">
        <v>120</v>
      </c>
      <c r="E98" s="31" t="s">
        <v>119</v>
      </c>
      <c r="F98" s="29">
        <f>'приложение 4'!G310</f>
        <v>3296980</v>
      </c>
      <c r="G98" s="29">
        <f>'приложение 4'!H310</f>
        <v>2925014</v>
      </c>
      <c r="H98" s="29">
        <f>'приложение 4'!I310</f>
        <v>2925014</v>
      </c>
    </row>
    <row r="99" spans="1:8" ht="45.75" customHeight="1">
      <c r="A99" s="343"/>
      <c r="B99" s="351"/>
      <c r="C99" s="343"/>
      <c r="D99" s="30">
        <v>240</v>
      </c>
      <c r="E99" s="31" t="s">
        <v>119</v>
      </c>
      <c r="F99" s="29">
        <f>'приложение 4'!G312</f>
        <v>626220</v>
      </c>
      <c r="G99" s="29">
        <f>'приложение 4'!H312</f>
        <v>745086</v>
      </c>
      <c r="H99" s="29">
        <f>'приложение 4'!I312</f>
        <v>745086</v>
      </c>
    </row>
    <row r="100" spans="1:8">
      <c r="A100" s="343">
        <v>68</v>
      </c>
      <c r="B100" s="352" t="s">
        <v>341</v>
      </c>
      <c r="C100" s="343" t="str">
        <f>'приложение 4'!E581</f>
        <v>0340075560</v>
      </c>
      <c r="D100" s="30">
        <v>320</v>
      </c>
      <c r="E100" s="31" t="s">
        <v>166</v>
      </c>
      <c r="F100" s="29">
        <f>'приложение 4'!G583</f>
        <v>2559100</v>
      </c>
      <c r="G100" s="29">
        <f>'приложение 4'!H583</f>
        <v>2559100</v>
      </c>
      <c r="H100" s="29">
        <f>'приложение 4'!I583</f>
        <v>2559100</v>
      </c>
    </row>
    <row r="101" spans="1:8" ht="89.25" customHeight="1">
      <c r="A101" s="343"/>
      <c r="B101" s="352"/>
      <c r="C101" s="343"/>
      <c r="D101" s="30">
        <v>240</v>
      </c>
      <c r="E101" s="31" t="s">
        <v>166</v>
      </c>
      <c r="F101" s="29">
        <f>'приложение 4'!G585</f>
        <v>20000</v>
      </c>
      <c r="G101" s="29">
        <f>'приложение 4'!H585</f>
        <v>20000</v>
      </c>
      <c r="H101" s="29">
        <f>'приложение 4'!I585</f>
        <v>20000</v>
      </c>
    </row>
    <row r="102" spans="1:8" ht="28.5">
      <c r="A102" s="146">
        <v>69</v>
      </c>
      <c r="B102" s="79" t="s">
        <v>220</v>
      </c>
      <c r="C102" s="50" t="s">
        <v>210</v>
      </c>
      <c r="D102" s="30"/>
      <c r="E102" s="31"/>
      <c r="F102" s="52">
        <f>F103+F107+F110</f>
        <v>10089409.199999999</v>
      </c>
      <c r="G102" s="52">
        <f>G103+G107+G110</f>
        <v>8118577.2000000002</v>
      </c>
      <c r="H102" s="52">
        <f>H103+H107+H110</f>
        <v>8118577.2000000002</v>
      </c>
    </row>
    <row r="103" spans="1:8" ht="30">
      <c r="A103" s="146">
        <v>70</v>
      </c>
      <c r="B103" s="93" t="s">
        <v>301</v>
      </c>
      <c r="C103" s="47" t="s">
        <v>241</v>
      </c>
      <c r="D103" s="49"/>
      <c r="E103" s="50"/>
      <c r="F103" s="42">
        <f>F104+F106+F105</f>
        <v>9724809.1999999993</v>
      </c>
      <c r="G103" s="42">
        <f t="shared" ref="G103:H103" si="12">G104+G106+G105</f>
        <v>7953977.2000000002</v>
      </c>
      <c r="H103" s="42">
        <f t="shared" si="12"/>
        <v>7953977.2000000002</v>
      </c>
    </row>
    <row r="104" spans="1:8" ht="66.75" customHeight="1">
      <c r="A104" s="146">
        <v>71</v>
      </c>
      <c r="B104" s="68" t="s">
        <v>345</v>
      </c>
      <c r="C104" s="31" t="s">
        <v>302</v>
      </c>
      <c r="D104" s="30">
        <v>610</v>
      </c>
      <c r="E104" s="31" t="s">
        <v>118</v>
      </c>
      <c r="F104" s="51">
        <f>'приложение 4'!G602</f>
        <v>9121409.1999999993</v>
      </c>
      <c r="G104" s="51">
        <f>'приложение 4'!H602</f>
        <v>7450577.2000000002</v>
      </c>
      <c r="H104" s="51">
        <f>'приложение 4'!I602</f>
        <v>7450577.2000000002</v>
      </c>
    </row>
    <row r="105" spans="1:8" ht="31.5" customHeight="1">
      <c r="A105" s="146">
        <v>72</v>
      </c>
      <c r="B105" s="138" t="s">
        <v>444</v>
      </c>
      <c r="C105" s="40" t="s">
        <v>433</v>
      </c>
      <c r="D105" s="135">
        <v>540</v>
      </c>
      <c r="E105" s="136" t="s">
        <v>118</v>
      </c>
      <c r="F105" s="51">
        <f>'приложение 4'!G86</f>
        <v>100000</v>
      </c>
      <c r="G105" s="51">
        <f>'приложение 4'!H86</f>
        <v>0</v>
      </c>
      <c r="H105" s="51">
        <f>'приложение 4'!I86</f>
        <v>0</v>
      </c>
    </row>
    <row r="106" spans="1:8" ht="60">
      <c r="A106" s="146">
        <v>73</v>
      </c>
      <c r="B106" s="90" t="s">
        <v>360</v>
      </c>
      <c r="C106" s="31" t="s">
        <v>303</v>
      </c>
      <c r="D106" s="30">
        <v>610</v>
      </c>
      <c r="E106" s="31" t="s">
        <v>118</v>
      </c>
      <c r="F106" s="51">
        <f>'приложение 4'!G605</f>
        <v>503400</v>
      </c>
      <c r="G106" s="51">
        <f>'приложение 4'!H605</f>
        <v>503400</v>
      </c>
      <c r="H106" s="51">
        <f>'приложение 4'!I605</f>
        <v>503400</v>
      </c>
    </row>
    <row r="107" spans="1:8" ht="30">
      <c r="A107" s="146">
        <v>74</v>
      </c>
      <c r="B107" s="57" t="s">
        <v>307</v>
      </c>
      <c r="C107" s="47" t="s">
        <v>211</v>
      </c>
      <c r="D107" s="49"/>
      <c r="E107" s="50"/>
      <c r="F107" s="42">
        <f t="shared" ref="F107:G107" si="13">F108+F109</f>
        <v>294600</v>
      </c>
      <c r="G107" s="42">
        <f t="shared" si="13"/>
        <v>94600</v>
      </c>
      <c r="H107" s="42">
        <f t="shared" ref="H107" si="14">H108+H109</f>
        <v>94600</v>
      </c>
    </row>
    <row r="108" spans="1:8" ht="75">
      <c r="A108" s="146">
        <v>75</v>
      </c>
      <c r="B108" s="55" t="s">
        <v>346</v>
      </c>
      <c r="C108" s="31" t="s">
        <v>305</v>
      </c>
      <c r="D108" s="30">
        <v>610</v>
      </c>
      <c r="E108" s="31" t="s">
        <v>118</v>
      </c>
      <c r="F108" s="29">
        <f>'приложение 4'!G609</f>
        <v>72600</v>
      </c>
      <c r="G108" s="29">
        <f>'приложение 4'!H609</f>
        <v>72600</v>
      </c>
      <c r="H108" s="29">
        <f>'приложение 4'!I609</f>
        <v>72600</v>
      </c>
    </row>
    <row r="109" spans="1:8" ht="66" customHeight="1">
      <c r="A109" s="146">
        <v>76</v>
      </c>
      <c r="B109" s="133" t="s">
        <v>427</v>
      </c>
      <c r="C109" s="131" t="s">
        <v>425</v>
      </c>
      <c r="D109" s="132">
        <v>610</v>
      </c>
      <c r="E109" s="131" t="s">
        <v>118</v>
      </c>
      <c r="F109" s="29">
        <f>'приложение 4'!G610</f>
        <v>222000</v>
      </c>
      <c r="G109" s="29">
        <f>'приложение 4'!H610</f>
        <v>22000</v>
      </c>
      <c r="H109" s="29">
        <f>'приложение 4'!I610</f>
        <v>22000</v>
      </c>
    </row>
    <row r="110" spans="1:8" ht="45">
      <c r="A110" s="146">
        <v>77</v>
      </c>
      <c r="B110" s="57" t="s">
        <v>309</v>
      </c>
      <c r="C110" s="47" t="s">
        <v>242</v>
      </c>
      <c r="D110" s="30"/>
      <c r="E110" s="31"/>
      <c r="F110" s="42">
        <f t="shared" ref="F110:H110" si="15">F111</f>
        <v>70000</v>
      </c>
      <c r="G110" s="42">
        <f t="shared" si="15"/>
        <v>70000</v>
      </c>
      <c r="H110" s="42">
        <f t="shared" si="15"/>
        <v>70000</v>
      </c>
    </row>
    <row r="111" spans="1:8" ht="105">
      <c r="A111" s="146">
        <v>78</v>
      </c>
      <c r="B111" s="55" t="s">
        <v>347</v>
      </c>
      <c r="C111" s="31" t="s">
        <v>306</v>
      </c>
      <c r="D111" s="30">
        <v>610</v>
      </c>
      <c r="E111" s="31" t="s">
        <v>118</v>
      </c>
      <c r="F111" s="29">
        <f>'приложение 4'!G616</f>
        <v>70000</v>
      </c>
      <c r="G111" s="29">
        <f>'приложение 4'!H616</f>
        <v>70000</v>
      </c>
      <c r="H111" s="29">
        <f>'приложение 4'!I616</f>
        <v>70000</v>
      </c>
    </row>
    <row r="112" spans="1:8" ht="45" customHeight="1">
      <c r="A112" s="146">
        <v>79</v>
      </c>
      <c r="B112" s="79" t="s">
        <v>221</v>
      </c>
      <c r="C112" s="50" t="s">
        <v>168</v>
      </c>
      <c r="D112" s="49"/>
      <c r="E112" s="50"/>
      <c r="F112" s="52">
        <f t="shared" ref="F112:H112" si="16">F113+F117</f>
        <v>172355302.77000001</v>
      </c>
      <c r="G112" s="52">
        <f t="shared" si="16"/>
        <v>158681432.75999999</v>
      </c>
      <c r="H112" s="52">
        <f t="shared" si="16"/>
        <v>158681432.75999999</v>
      </c>
    </row>
    <row r="113" spans="1:8" ht="60">
      <c r="A113" s="146">
        <v>80</v>
      </c>
      <c r="B113" s="196" t="s">
        <v>27</v>
      </c>
      <c r="C113" s="47" t="s">
        <v>174</v>
      </c>
      <c r="D113" s="49"/>
      <c r="E113" s="50"/>
      <c r="F113" s="42">
        <f t="shared" ref="F113:G113" si="17">F114+F115+F116</f>
        <v>152296216.02000001</v>
      </c>
      <c r="G113" s="42">
        <f t="shared" si="17"/>
        <v>139887890.00999999</v>
      </c>
      <c r="H113" s="42">
        <f t="shared" ref="H113" si="18">H114+H115+H116</f>
        <v>139887890.00999999</v>
      </c>
    </row>
    <row r="114" spans="1:8" ht="120">
      <c r="A114" s="146">
        <v>81</v>
      </c>
      <c r="B114" s="83" t="s">
        <v>399</v>
      </c>
      <c r="C114" s="30" t="str">
        <f>'приложение 4'!E104</f>
        <v>0510076010</v>
      </c>
      <c r="D114" s="30">
        <v>510</v>
      </c>
      <c r="E114" s="31" t="s">
        <v>130</v>
      </c>
      <c r="F114" s="29">
        <f>'приложение 4'!G106</f>
        <v>15291000</v>
      </c>
      <c r="G114" s="29">
        <f>'приложение 4'!H106</f>
        <v>12226600</v>
      </c>
      <c r="H114" s="29">
        <f>'приложение 4'!I106</f>
        <v>12226600</v>
      </c>
    </row>
    <row r="115" spans="1:8" ht="90">
      <c r="A115" s="146">
        <v>82</v>
      </c>
      <c r="B115" s="60" t="s">
        <v>370</v>
      </c>
      <c r="C115" s="30" t="str">
        <f>'приложение 4'!E107</f>
        <v>0510050010</v>
      </c>
      <c r="D115" s="30">
        <v>510</v>
      </c>
      <c r="E115" s="31" t="s">
        <v>130</v>
      </c>
      <c r="F115" s="29">
        <f>'приложение 4'!G109</f>
        <v>19630997.68</v>
      </c>
      <c r="G115" s="29">
        <f>'приложение 4'!H109</f>
        <v>21219688.27</v>
      </c>
      <c r="H115" s="29">
        <f>'приложение 4'!I109</f>
        <v>21219688.27</v>
      </c>
    </row>
    <row r="116" spans="1:8" ht="105">
      <c r="A116" s="146">
        <v>83</v>
      </c>
      <c r="B116" s="83" t="s">
        <v>400</v>
      </c>
      <c r="C116" s="30" t="str">
        <f>'приложение 4'!E113</f>
        <v>0510050030</v>
      </c>
      <c r="D116" s="30">
        <v>540</v>
      </c>
      <c r="E116" s="31" t="s">
        <v>131</v>
      </c>
      <c r="F116" s="29">
        <f>'приложение 4'!G115</f>
        <v>117374218.34</v>
      </c>
      <c r="G116" s="29">
        <f>'приложение 4'!H115</f>
        <v>106441601.73999999</v>
      </c>
      <c r="H116" s="29">
        <f>'приложение 4'!I115</f>
        <v>106441601.73999999</v>
      </c>
    </row>
    <row r="117" spans="1:8" ht="30">
      <c r="A117" s="146">
        <v>84</v>
      </c>
      <c r="B117" s="93" t="s">
        <v>14</v>
      </c>
      <c r="C117" s="47" t="s">
        <v>169</v>
      </c>
      <c r="D117" s="49"/>
      <c r="E117" s="50"/>
      <c r="F117" s="42">
        <f>F118+F119+F120+F121+F122</f>
        <v>20059086.75</v>
      </c>
      <c r="G117" s="42">
        <f t="shared" ref="G117:H117" si="19">G118+G119+G120+G121+G122</f>
        <v>18793542.75</v>
      </c>
      <c r="H117" s="42">
        <f t="shared" si="19"/>
        <v>18793542.75</v>
      </c>
    </row>
    <row r="118" spans="1:8">
      <c r="A118" s="343">
        <v>85</v>
      </c>
      <c r="B118" s="368" t="s">
        <v>366</v>
      </c>
      <c r="C118" s="343" t="str">
        <f>'приложение 4'!E22</f>
        <v>0520000210</v>
      </c>
      <c r="D118" s="30">
        <v>120</v>
      </c>
      <c r="E118" s="31" t="s">
        <v>92</v>
      </c>
      <c r="F118" s="29">
        <f>'приложение 4'!G24</f>
        <v>15624859.35</v>
      </c>
      <c r="G118" s="29">
        <f>'приложение 4'!H24</f>
        <v>14675701.35</v>
      </c>
      <c r="H118" s="29">
        <f>'приложение 4'!I24</f>
        <v>14675701.35</v>
      </c>
    </row>
    <row r="119" spans="1:8">
      <c r="A119" s="343"/>
      <c r="B119" s="368"/>
      <c r="C119" s="343"/>
      <c r="D119" s="30">
        <v>240</v>
      </c>
      <c r="E119" s="31" t="s">
        <v>92</v>
      </c>
      <c r="F119" s="29">
        <f>'приложение 4'!G26</f>
        <v>1634500</v>
      </c>
      <c r="G119" s="29">
        <f>'приложение 4'!H26</f>
        <v>1634500</v>
      </c>
      <c r="H119" s="29">
        <f>'приложение 4'!I26</f>
        <v>1634500</v>
      </c>
    </row>
    <row r="120" spans="1:8">
      <c r="A120" s="343"/>
      <c r="B120" s="368"/>
      <c r="C120" s="343"/>
      <c r="D120" s="132">
        <v>830</v>
      </c>
      <c r="E120" s="131" t="s">
        <v>92</v>
      </c>
      <c r="F120" s="29">
        <f>'приложение 4'!G28</f>
        <v>2500</v>
      </c>
      <c r="G120" s="29">
        <f>'приложение 4'!H28</f>
        <v>2500</v>
      </c>
      <c r="H120" s="29">
        <f>'приложение 4'!I28</f>
        <v>2500</v>
      </c>
    </row>
    <row r="121" spans="1:8" ht="36" customHeight="1">
      <c r="A121" s="343"/>
      <c r="B121" s="368"/>
      <c r="C121" s="343"/>
      <c r="D121" s="30">
        <v>850</v>
      </c>
      <c r="E121" s="31" t="s">
        <v>92</v>
      </c>
      <c r="F121" s="29">
        <f>'приложение 4'!G28</f>
        <v>2500</v>
      </c>
      <c r="G121" s="29">
        <f>'приложение 4'!H28</f>
        <v>2500</v>
      </c>
      <c r="H121" s="29">
        <f>'приложение 4'!I28</f>
        <v>2500</v>
      </c>
    </row>
    <row r="122" spans="1:8" ht="75">
      <c r="A122" s="146">
        <v>86</v>
      </c>
      <c r="B122" s="55" t="s">
        <v>367</v>
      </c>
      <c r="C122" s="31" t="str">
        <f>'приложение 4'!E30</f>
        <v>0520000220</v>
      </c>
      <c r="D122" s="30">
        <v>120</v>
      </c>
      <c r="E122" s="31" t="s">
        <v>92</v>
      </c>
      <c r="F122" s="29">
        <f>'приложение 4'!G32</f>
        <v>2794727.4</v>
      </c>
      <c r="G122" s="29">
        <f>'приложение 4'!H32</f>
        <v>2478341.4</v>
      </c>
      <c r="H122" s="29">
        <f>'приложение 4'!I32</f>
        <v>2478341.4</v>
      </c>
    </row>
    <row r="123" spans="1:8" ht="28.5">
      <c r="A123" s="146">
        <v>87</v>
      </c>
      <c r="B123" s="79" t="s">
        <v>222</v>
      </c>
      <c r="C123" s="50" t="s">
        <v>178</v>
      </c>
      <c r="D123" s="49"/>
      <c r="E123" s="50"/>
      <c r="F123" s="52">
        <f>F124+F129+F133+F138</f>
        <v>7303261</v>
      </c>
      <c r="G123" s="52">
        <f>G124+G129+G133+G138</f>
        <v>2507000</v>
      </c>
      <c r="H123" s="52">
        <f>H124+H129+H133+H138</f>
        <v>2507000</v>
      </c>
    </row>
    <row r="124" spans="1:8" ht="45">
      <c r="A124" s="146">
        <v>88</v>
      </c>
      <c r="B124" s="191" t="s">
        <v>382</v>
      </c>
      <c r="C124" s="47" t="s">
        <v>179</v>
      </c>
      <c r="D124" s="49"/>
      <c r="E124" s="50"/>
      <c r="F124" s="42">
        <f>F125+F128</f>
        <v>900000</v>
      </c>
      <c r="G124" s="42">
        <f t="shared" ref="G124:H124" si="20">G125+G128</f>
        <v>600000</v>
      </c>
      <c r="H124" s="42">
        <f t="shared" si="20"/>
        <v>600000</v>
      </c>
    </row>
    <row r="125" spans="1:8" ht="27.75" customHeight="1">
      <c r="A125" s="343">
        <v>89</v>
      </c>
      <c r="B125" s="344" t="s">
        <v>364</v>
      </c>
      <c r="C125" s="343" t="s">
        <v>283</v>
      </c>
      <c r="D125" s="343">
        <v>240</v>
      </c>
      <c r="E125" s="354" t="s">
        <v>94</v>
      </c>
      <c r="F125" s="345">
        <f>'приложение 4'!G427</f>
        <v>600000</v>
      </c>
      <c r="G125" s="345">
        <f>'приложение 4'!H427</f>
        <v>300000</v>
      </c>
      <c r="H125" s="345">
        <f>'приложение 4'!I427</f>
        <v>300000</v>
      </c>
    </row>
    <row r="126" spans="1:8" ht="29.25" customHeight="1">
      <c r="A126" s="343"/>
      <c r="B126" s="344"/>
      <c r="C126" s="343"/>
      <c r="D126" s="343"/>
      <c r="E126" s="354"/>
      <c r="F126" s="346"/>
      <c r="G126" s="346"/>
      <c r="H126" s="346"/>
    </row>
    <row r="127" spans="1:8" ht="26.25" customHeight="1">
      <c r="A127" s="343"/>
      <c r="B127" s="344"/>
      <c r="C127" s="343"/>
      <c r="D127" s="343"/>
      <c r="E127" s="354"/>
      <c r="F127" s="346"/>
      <c r="G127" s="346"/>
      <c r="H127" s="346"/>
    </row>
    <row r="128" spans="1:8" ht="60">
      <c r="A128" s="146">
        <v>90</v>
      </c>
      <c r="B128" s="68" t="s">
        <v>365</v>
      </c>
      <c r="C128" s="31" t="s">
        <v>284</v>
      </c>
      <c r="D128" s="30">
        <v>240</v>
      </c>
      <c r="E128" s="31" t="s">
        <v>94</v>
      </c>
      <c r="F128" s="51">
        <f>'приложение 4'!G430</f>
        <v>300000</v>
      </c>
      <c r="G128" s="51">
        <f>'приложение 4'!H430</f>
        <v>300000</v>
      </c>
      <c r="H128" s="51">
        <f>'приложение 4'!I430</f>
        <v>300000</v>
      </c>
    </row>
    <row r="129" spans="1:8">
      <c r="A129" s="343">
        <v>91</v>
      </c>
      <c r="B129" s="393" t="s">
        <v>291</v>
      </c>
      <c r="C129" s="367" t="s">
        <v>193</v>
      </c>
      <c r="D129" s="348"/>
      <c r="E129" s="348"/>
      <c r="F129" s="347">
        <f>F132</f>
        <v>4296261</v>
      </c>
      <c r="G129" s="347">
        <f t="shared" ref="G129:H129" si="21">G132</f>
        <v>0</v>
      </c>
      <c r="H129" s="347">
        <f t="shared" si="21"/>
        <v>0</v>
      </c>
    </row>
    <row r="130" spans="1:8">
      <c r="A130" s="343"/>
      <c r="B130" s="393"/>
      <c r="C130" s="367"/>
      <c r="D130" s="348"/>
      <c r="E130" s="348"/>
      <c r="F130" s="348"/>
      <c r="G130" s="348"/>
      <c r="H130" s="348"/>
    </row>
    <row r="131" spans="1:8">
      <c r="A131" s="343"/>
      <c r="B131" s="393"/>
      <c r="C131" s="367"/>
      <c r="D131" s="348"/>
      <c r="E131" s="348"/>
      <c r="F131" s="348"/>
      <c r="G131" s="348"/>
      <c r="H131" s="348"/>
    </row>
    <row r="132" spans="1:8" ht="65.25" customHeight="1">
      <c r="A132" s="200">
        <v>92</v>
      </c>
      <c r="B132" s="249" t="s">
        <v>569</v>
      </c>
      <c r="C132" s="253" t="s">
        <v>548</v>
      </c>
      <c r="D132" s="200">
        <v>540</v>
      </c>
      <c r="E132" s="201" t="s">
        <v>131</v>
      </c>
      <c r="F132" s="29">
        <f>'приложение 4'!G119</f>
        <v>4296261</v>
      </c>
      <c r="G132" s="29">
        <f>'приложение 4'!H119</f>
        <v>0</v>
      </c>
      <c r="H132" s="29">
        <f>'приложение 4'!I119</f>
        <v>0</v>
      </c>
    </row>
    <row r="133" spans="1:8" ht="30">
      <c r="A133" s="146">
        <v>93</v>
      </c>
      <c r="B133" s="57" t="s">
        <v>14</v>
      </c>
      <c r="C133" s="50" t="s">
        <v>383</v>
      </c>
      <c r="D133" s="30"/>
      <c r="E133" s="31"/>
      <c r="F133" s="29">
        <f t="shared" ref="F133:H133" si="22">F134+F135+F136+F137</f>
        <v>1907000</v>
      </c>
      <c r="G133" s="29">
        <f t="shared" si="22"/>
        <v>1907000</v>
      </c>
      <c r="H133" s="29">
        <f t="shared" si="22"/>
        <v>1907000</v>
      </c>
    </row>
    <row r="134" spans="1:8" ht="81" customHeight="1">
      <c r="A134" s="146">
        <v>94</v>
      </c>
      <c r="B134" s="295" t="s">
        <v>388</v>
      </c>
      <c r="C134" s="121" t="str">
        <f>'приложение 4'!E317</f>
        <v>0630001110</v>
      </c>
      <c r="D134" s="30">
        <v>310</v>
      </c>
      <c r="E134" s="31" t="s">
        <v>126</v>
      </c>
      <c r="F134" s="29">
        <f>'приложение 4'!G319</f>
        <v>1300000</v>
      </c>
      <c r="G134" s="29">
        <f>'приложение 4'!H319</f>
        <v>1300000</v>
      </c>
      <c r="H134" s="29">
        <f>'приложение 4'!I319</f>
        <v>1300000</v>
      </c>
    </row>
    <row r="135" spans="1:8" ht="78" customHeight="1">
      <c r="A135" s="146">
        <v>95</v>
      </c>
      <c r="B135" s="122" t="s">
        <v>395</v>
      </c>
      <c r="C135" s="121" t="str">
        <f>'приложение 4'!E347</f>
        <v>0630080010</v>
      </c>
      <c r="D135" s="30">
        <v>310</v>
      </c>
      <c r="E135" s="31" t="s">
        <v>128</v>
      </c>
      <c r="F135" s="29">
        <f>'приложение 4'!G349</f>
        <v>500000</v>
      </c>
      <c r="G135" s="29">
        <f>'приложение 4'!H349</f>
        <v>500000</v>
      </c>
      <c r="H135" s="29">
        <f>'приложение 4'!I349</f>
        <v>500000</v>
      </c>
    </row>
    <row r="136" spans="1:8" ht="27" customHeight="1">
      <c r="A136" s="343">
        <v>96</v>
      </c>
      <c r="B136" s="353" t="s">
        <v>392</v>
      </c>
      <c r="C136" s="354" t="str">
        <f>'приложение 4'!E350</f>
        <v>0630080020</v>
      </c>
      <c r="D136" s="30">
        <v>320</v>
      </c>
      <c r="E136" s="31" t="s">
        <v>128</v>
      </c>
      <c r="F136" s="29">
        <f>'приложение 4'!G352</f>
        <v>92000</v>
      </c>
      <c r="G136" s="29">
        <f>'приложение 4'!H352</f>
        <v>92000</v>
      </c>
      <c r="H136" s="29">
        <f>'приложение 4'!I352</f>
        <v>92000</v>
      </c>
    </row>
    <row r="137" spans="1:8" ht="30" customHeight="1">
      <c r="A137" s="343"/>
      <c r="B137" s="353"/>
      <c r="C137" s="355"/>
      <c r="D137" s="30">
        <v>240</v>
      </c>
      <c r="E137" s="31" t="s">
        <v>128</v>
      </c>
      <c r="F137" s="29">
        <f>'приложение 4'!G354</f>
        <v>15000</v>
      </c>
      <c r="G137" s="29">
        <f>'приложение 4'!H354</f>
        <v>15000</v>
      </c>
      <c r="H137" s="29">
        <f>'приложение 4'!I354</f>
        <v>15000</v>
      </c>
    </row>
    <row r="138" spans="1:8">
      <c r="A138" s="146">
        <v>97</v>
      </c>
      <c r="B138" s="93" t="s">
        <v>39</v>
      </c>
      <c r="C138" s="47" t="s">
        <v>293</v>
      </c>
      <c r="D138" s="49"/>
      <c r="E138" s="50"/>
      <c r="F138" s="42">
        <f t="shared" ref="F138:H138" si="23">F139</f>
        <v>200000</v>
      </c>
      <c r="G138" s="42">
        <f t="shared" si="23"/>
        <v>0</v>
      </c>
      <c r="H138" s="42">
        <f t="shared" si="23"/>
        <v>0</v>
      </c>
    </row>
    <row r="139" spans="1:8">
      <c r="A139" s="343">
        <v>98</v>
      </c>
      <c r="B139" s="344" t="s">
        <v>286</v>
      </c>
      <c r="C139" s="343" t="s">
        <v>262</v>
      </c>
      <c r="D139" s="343">
        <v>540</v>
      </c>
      <c r="E139" s="354" t="s">
        <v>103</v>
      </c>
      <c r="F139" s="349">
        <f>'приложение 4'!G59</f>
        <v>200000</v>
      </c>
      <c r="G139" s="349">
        <f>'приложение 4'!H59</f>
        <v>0</v>
      </c>
      <c r="H139" s="349">
        <f>'приложение 4'!I59</f>
        <v>0</v>
      </c>
    </row>
    <row r="140" spans="1:8">
      <c r="A140" s="343"/>
      <c r="B140" s="344"/>
      <c r="C140" s="343"/>
      <c r="D140" s="343"/>
      <c r="E140" s="354"/>
      <c r="F140" s="343"/>
      <c r="G140" s="343"/>
      <c r="H140" s="343"/>
    </row>
    <row r="141" spans="1:8">
      <c r="A141" s="343"/>
      <c r="B141" s="344"/>
      <c r="C141" s="343"/>
      <c r="D141" s="343"/>
      <c r="E141" s="354"/>
      <c r="F141" s="343"/>
      <c r="G141" s="343"/>
      <c r="H141" s="343"/>
    </row>
    <row r="142" spans="1:8" ht="57">
      <c r="A142" s="146">
        <v>99</v>
      </c>
      <c r="B142" s="79" t="s">
        <v>223</v>
      </c>
      <c r="C142" s="50" t="s">
        <v>171</v>
      </c>
      <c r="D142" s="30"/>
      <c r="E142" s="31"/>
      <c r="F142" s="52">
        <f>F143+F145+F146+F147</f>
        <v>73727820</v>
      </c>
      <c r="G142" s="52">
        <f>G143+G145+G146+G147</f>
        <v>72660000</v>
      </c>
      <c r="H142" s="52">
        <f>H143+H145+H146+H147</f>
        <v>72660000</v>
      </c>
    </row>
    <row r="143" spans="1:8">
      <c r="A143" s="146">
        <v>100</v>
      </c>
      <c r="B143" s="93" t="s">
        <v>310</v>
      </c>
      <c r="C143" s="47" t="s">
        <v>172</v>
      </c>
      <c r="D143" s="49"/>
      <c r="E143" s="50"/>
      <c r="F143" s="42">
        <f>F144</f>
        <v>976920</v>
      </c>
      <c r="G143" s="42">
        <f t="shared" ref="G143:H143" si="24">G144</f>
        <v>0</v>
      </c>
      <c r="H143" s="42">
        <f t="shared" si="24"/>
        <v>0</v>
      </c>
    </row>
    <row r="144" spans="1:8" ht="60">
      <c r="A144" s="206">
        <v>101</v>
      </c>
      <c r="B144" s="214" t="s">
        <v>490</v>
      </c>
      <c r="C144" s="211" t="str">
        <f>'приложение 4'!E70</f>
        <v>0710085010</v>
      </c>
      <c r="D144" s="206">
        <v>540</v>
      </c>
      <c r="E144" s="211" t="s">
        <v>112</v>
      </c>
      <c r="F144" s="29">
        <f>'приложение 4'!G71</f>
        <v>976920</v>
      </c>
      <c r="G144" s="29">
        <f>'приложение 4'!H71</f>
        <v>0</v>
      </c>
      <c r="H144" s="29"/>
    </row>
    <row r="145" spans="1:8" ht="30">
      <c r="A145" s="146">
        <v>102</v>
      </c>
      <c r="B145" s="93" t="s">
        <v>311</v>
      </c>
      <c r="C145" s="47" t="s">
        <v>243</v>
      </c>
      <c r="D145" s="49"/>
      <c r="E145" s="50"/>
      <c r="F145" s="42">
        <v>0</v>
      </c>
      <c r="G145" s="42">
        <v>0</v>
      </c>
      <c r="H145" s="42">
        <v>0</v>
      </c>
    </row>
    <row r="146" spans="1:8" ht="30">
      <c r="A146" s="146">
        <v>103</v>
      </c>
      <c r="B146" s="179" t="s">
        <v>138</v>
      </c>
      <c r="C146" s="47" t="s">
        <v>173</v>
      </c>
      <c r="D146" s="49"/>
      <c r="E146" s="50"/>
      <c r="F146" s="42">
        <v>0</v>
      </c>
      <c r="G146" s="42">
        <v>0</v>
      </c>
      <c r="H146" s="42">
        <v>0</v>
      </c>
    </row>
    <row r="147" spans="1:8">
      <c r="A147" s="146">
        <v>104</v>
      </c>
      <c r="B147" s="76" t="s">
        <v>139</v>
      </c>
      <c r="C147" s="47" t="s">
        <v>181</v>
      </c>
      <c r="D147" s="49"/>
      <c r="E147" s="50"/>
      <c r="F147" s="42">
        <f>F148+F149</f>
        <v>72750900</v>
      </c>
      <c r="G147" s="42">
        <f t="shared" ref="G147:H147" si="25">G148+G149</f>
        <v>72660000</v>
      </c>
      <c r="H147" s="42">
        <f t="shared" si="25"/>
        <v>72660000</v>
      </c>
    </row>
    <row r="148" spans="1:8" ht="45">
      <c r="A148" s="146">
        <v>105</v>
      </c>
      <c r="B148" s="62" t="s">
        <v>287</v>
      </c>
      <c r="C148" s="30" t="str">
        <f>'приложение 4'!E276</f>
        <v>0790075770</v>
      </c>
      <c r="D148" s="30">
        <v>810</v>
      </c>
      <c r="E148" s="31" t="s">
        <v>112</v>
      </c>
      <c r="F148" s="29">
        <f>'приложение 4'!G278</f>
        <v>28196600</v>
      </c>
      <c r="G148" s="29">
        <f>'приложение 4'!H278</f>
        <v>26739500</v>
      </c>
      <c r="H148" s="29">
        <f>'приложение 4'!I278</f>
        <v>26739500</v>
      </c>
    </row>
    <row r="149" spans="1:8" ht="30">
      <c r="A149" s="146">
        <v>106</v>
      </c>
      <c r="B149" s="62" t="s">
        <v>270</v>
      </c>
      <c r="C149" s="30" t="str">
        <f>'приложение 4'!E279</f>
        <v>0790075700</v>
      </c>
      <c r="D149" s="30">
        <v>810</v>
      </c>
      <c r="E149" s="31" t="s">
        <v>112</v>
      </c>
      <c r="F149" s="29">
        <f>'приложение 4'!G281</f>
        <v>44554300</v>
      </c>
      <c r="G149" s="29">
        <f>'приложение 4'!H281</f>
        <v>45920500</v>
      </c>
      <c r="H149" s="29">
        <f>'приложение 4'!I281</f>
        <v>45920500</v>
      </c>
    </row>
    <row r="150" spans="1:8" ht="57">
      <c r="A150" s="146">
        <v>107</v>
      </c>
      <c r="B150" s="72" t="s">
        <v>224</v>
      </c>
      <c r="C150" s="50" t="s">
        <v>187</v>
      </c>
      <c r="D150" s="30"/>
      <c r="E150" s="31"/>
      <c r="F150" s="52">
        <f>F151+F159</f>
        <v>10565530.16</v>
      </c>
      <c r="G150" s="52">
        <f>G151+G159</f>
        <v>8967481.1600000001</v>
      </c>
      <c r="H150" s="52">
        <f>H151+H159</f>
        <v>8922481.1600000001</v>
      </c>
    </row>
    <row r="151" spans="1:8" ht="30">
      <c r="A151" s="146">
        <v>108</v>
      </c>
      <c r="B151" s="73" t="s">
        <v>294</v>
      </c>
      <c r="C151" s="47" t="s">
        <v>188</v>
      </c>
      <c r="D151" s="49"/>
      <c r="E151" s="50"/>
      <c r="F151" s="42">
        <f>F152+F153+F154+F157+F155+F156+F158</f>
        <v>10455530.16</v>
      </c>
      <c r="G151" s="42">
        <f t="shared" ref="G151:H151" si="26">G152+G153+G154+G157+G155+G156+G158</f>
        <v>8857481.1600000001</v>
      </c>
      <c r="H151" s="42">
        <f t="shared" si="26"/>
        <v>8857481.1600000001</v>
      </c>
    </row>
    <row r="152" spans="1:8">
      <c r="A152" s="343">
        <v>109</v>
      </c>
      <c r="B152" s="356" t="s">
        <v>330</v>
      </c>
      <c r="C152" s="343" t="str">
        <f>'приложение 4'!E368</f>
        <v>0810000610</v>
      </c>
      <c r="D152" s="30">
        <v>110</v>
      </c>
      <c r="E152" s="120" t="s">
        <v>379</v>
      </c>
      <c r="F152" s="29">
        <f>'приложение 4'!G369</f>
        <v>6698990.1600000001</v>
      </c>
      <c r="G152" s="29">
        <f>'приложение 4'!H369</f>
        <v>6002941.1600000001</v>
      </c>
      <c r="H152" s="29">
        <f>'приложение 4'!I369</f>
        <v>6002941.1600000001</v>
      </c>
    </row>
    <row r="153" spans="1:8" ht="19.5" customHeight="1">
      <c r="A153" s="343"/>
      <c r="B153" s="356"/>
      <c r="C153" s="343"/>
      <c r="D153" s="30">
        <v>240</v>
      </c>
      <c r="E153" s="120" t="s">
        <v>379</v>
      </c>
      <c r="F153" s="29">
        <f>'приложение 4'!G371</f>
        <v>860240</v>
      </c>
      <c r="G153" s="29">
        <f>'приложение 4'!H371</f>
        <v>862240</v>
      </c>
      <c r="H153" s="29">
        <f>'приложение 4'!I371</f>
        <v>862240</v>
      </c>
    </row>
    <row r="154" spans="1:8" ht="45.75" customHeight="1">
      <c r="A154" s="343"/>
      <c r="B154" s="356"/>
      <c r="C154" s="343"/>
      <c r="D154" s="30">
        <v>850</v>
      </c>
      <c r="E154" s="120" t="s">
        <v>379</v>
      </c>
      <c r="F154" s="29">
        <f>'приложение 4'!G373</f>
        <v>500</v>
      </c>
      <c r="G154" s="29">
        <f>'приложение 4'!H373</f>
        <v>500</v>
      </c>
      <c r="H154" s="29">
        <f>'приложение 4'!I373</f>
        <v>500</v>
      </c>
    </row>
    <row r="155" spans="1:8" ht="45">
      <c r="A155" s="146">
        <v>110</v>
      </c>
      <c r="B155" s="143" t="s">
        <v>441</v>
      </c>
      <c r="C155" s="34" t="s">
        <v>439</v>
      </c>
      <c r="D155" s="144">
        <v>240</v>
      </c>
      <c r="E155" s="34" t="s">
        <v>379</v>
      </c>
      <c r="F155" s="134">
        <f>'приложение 4'!G195</f>
        <v>189500</v>
      </c>
      <c r="G155" s="134">
        <f>'приложение 4'!H195</f>
        <v>190000</v>
      </c>
      <c r="H155" s="134">
        <f>'приложение 4'!I195</f>
        <v>190000</v>
      </c>
    </row>
    <row r="156" spans="1:8" ht="79.5" customHeight="1">
      <c r="A156" s="248">
        <v>111</v>
      </c>
      <c r="B156" s="143" t="s">
        <v>567</v>
      </c>
      <c r="C156" s="34" t="s">
        <v>542</v>
      </c>
      <c r="D156" s="144">
        <v>540</v>
      </c>
      <c r="E156" s="34" t="s">
        <v>379</v>
      </c>
      <c r="F156" s="134">
        <f>'приложение 4'!G50</f>
        <v>2702800</v>
      </c>
      <c r="G156" s="134">
        <f>'приложение 4'!H50</f>
        <v>1801800</v>
      </c>
      <c r="H156" s="134">
        <f>'приложение 4'!I50</f>
        <v>1801800</v>
      </c>
    </row>
    <row r="157" spans="1:8" ht="30">
      <c r="A157" s="146">
        <v>112</v>
      </c>
      <c r="B157" s="55" t="s">
        <v>289</v>
      </c>
      <c r="C157" s="31" t="s">
        <v>290</v>
      </c>
      <c r="D157" s="30">
        <v>240</v>
      </c>
      <c r="E157" s="120" t="s">
        <v>379</v>
      </c>
      <c r="F157" s="29">
        <f>'приложение 4'!G376</f>
        <v>3000</v>
      </c>
      <c r="G157" s="29">
        <f>'приложение 4'!H376</f>
        <v>0</v>
      </c>
      <c r="H157" s="29">
        <f>'приложение 4'!I376</f>
        <v>0</v>
      </c>
    </row>
    <row r="158" spans="1:8" ht="99" customHeight="1">
      <c r="A158" s="286">
        <v>113</v>
      </c>
      <c r="B158" s="290" t="s">
        <v>594</v>
      </c>
      <c r="C158" s="285" t="s">
        <v>593</v>
      </c>
      <c r="D158" s="286">
        <v>240</v>
      </c>
      <c r="E158" s="285" t="s">
        <v>379</v>
      </c>
      <c r="F158" s="29">
        <f>'приложение 4'!G198</f>
        <v>500</v>
      </c>
      <c r="G158" s="29">
        <f>'приложение 4'!H198</f>
        <v>0</v>
      </c>
      <c r="H158" s="29">
        <f>'приложение 4'!I198</f>
        <v>0</v>
      </c>
    </row>
    <row r="159" spans="1:8" ht="30">
      <c r="A159" s="146">
        <v>114</v>
      </c>
      <c r="B159" s="57" t="s">
        <v>401</v>
      </c>
      <c r="C159" s="47" t="s">
        <v>295</v>
      </c>
      <c r="D159" s="59"/>
      <c r="E159" s="47"/>
      <c r="F159" s="42">
        <f t="shared" ref="F159:G159" si="27">F160+F161+F162</f>
        <v>110000</v>
      </c>
      <c r="G159" s="42">
        <f t="shared" si="27"/>
        <v>110000</v>
      </c>
      <c r="H159" s="42">
        <f t="shared" ref="H159" si="28">H160+H161+H162</f>
        <v>65000</v>
      </c>
    </row>
    <row r="160" spans="1:8" ht="34.5" customHeight="1">
      <c r="A160" s="146">
        <v>115</v>
      </c>
      <c r="B160" s="137" t="s">
        <v>436</v>
      </c>
      <c r="C160" s="40" t="s">
        <v>437</v>
      </c>
      <c r="D160" s="135">
        <v>240</v>
      </c>
      <c r="E160" s="136" t="s">
        <v>379</v>
      </c>
      <c r="F160" s="29">
        <f>'приложение 4'!G202</f>
        <v>50000</v>
      </c>
      <c r="G160" s="29">
        <f>'приложение 4'!H202</f>
        <v>50000</v>
      </c>
      <c r="H160" s="29">
        <f>'приложение 4'!I202</f>
        <v>5000</v>
      </c>
    </row>
    <row r="161" spans="1:8" ht="35.25" customHeight="1">
      <c r="A161" s="146">
        <v>116</v>
      </c>
      <c r="B161" s="139" t="s">
        <v>442</v>
      </c>
      <c r="C161" s="136" t="s">
        <v>438</v>
      </c>
      <c r="D161" s="135">
        <v>240</v>
      </c>
      <c r="E161" s="136" t="s">
        <v>379</v>
      </c>
      <c r="F161" s="29">
        <f>'приложение 4'!G205</f>
        <v>30000</v>
      </c>
      <c r="G161" s="29">
        <f>'приложение 4'!H205</f>
        <v>30000</v>
      </c>
      <c r="H161" s="29">
        <f>'приложение 4'!I205</f>
        <v>30000</v>
      </c>
    </row>
    <row r="162" spans="1:8" ht="22.5" customHeight="1">
      <c r="A162" s="146">
        <v>117</v>
      </c>
      <c r="B162" s="139" t="s">
        <v>443</v>
      </c>
      <c r="C162" s="136" t="s">
        <v>440</v>
      </c>
      <c r="D162" s="135">
        <v>240</v>
      </c>
      <c r="E162" s="136" t="s">
        <v>379</v>
      </c>
      <c r="F162" s="29">
        <f>'приложение 4'!G208</f>
        <v>30000</v>
      </c>
      <c r="G162" s="29">
        <f>'приложение 4'!H208</f>
        <v>30000</v>
      </c>
      <c r="H162" s="29">
        <f>'приложение 4'!I208</f>
        <v>30000</v>
      </c>
    </row>
    <row r="163" spans="1:8" ht="42.75">
      <c r="A163" s="146">
        <v>118</v>
      </c>
      <c r="B163" s="72" t="s">
        <v>380</v>
      </c>
      <c r="C163" s="50" t="s">
        <v>180</v>
      </c>
      <c r="D163" s="49"/>
      <c r="E163" s="50"/>
      <c r="F163" s="52">
        <f>F164+F168+F167</f>
        <v>2515900</v>
      </c>
      <c r="G163" s="52">
        <f>G164+G168+G167</f>
        <v>1861500</v>
      </c>
      <c r="H163" s="52">
        <f>H164+H168+H167</f>
        <v>1861500</v>
      </c>
    </row>
    <row r="164" spans="1:8" ht="28.5">
      <c r="A164" s="146">
        <v>119</v>
      </c>
      <c r="B164" s="72" t="s">
        <v>484</v>
      </c>
      <c r="C164" s="50" t="s">
        <v>381</v>
      </c>
      <c r="D164" s="49"/>
      <c r="E164" s="50"/>
      <c r="F164" s="52">
        <f>F165+F166</f>
        <v>1368800</v>
      </c>
      <c r="G164" s="52">
        <f t="shared" ref="G164:H164" si="29">G165+G166</f>
        <v>798800</v>
      </c>
      <c r="H164" s="52">
        <f t="shared" si="29"/>
        <v>798800</v>
      </c>
    </row>
    <row r="165" spans="1:8" ht="30">
      <c r="A165" s="146">
        <v>120</v>
      </c>
      <c r="B165" s="68" t="s">
        <v>48</v>
      </c>
      <c r="C165" s="31" t="str">
        <f>'приложение 4'!E250</f>
        <v>09100S6070</v>
      </c>
      <c r="D165" s="30">
        <v>810</v>
      </c>
      <c r="E165" s="31" t="s">
        <v>108</v>
      </c>
      <c r="F165" s="29">
        <f>'приложение 4'!G252</f>
        <v>768800</v>
      </c>
      <c r="G165" s="29">
        <f>'приложение 4'!H252</f>
        <v>768800</v>
      </c>
      <c r="H165" s="29">
        <f>'приложение 4'!I252</f>
        <v>768800</v>
      </c>
    </row>
    <row r="166" spans="1:8" ht="60">
      <c r="A166" s="195">
        <v>121</v>
      </c>
      <c r="B166" s="194" t="str">
        <f>'приложение 4'!B253</f>
        <v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v>
      </c>
      <c r="C166" s="192" t="str">
        <f>'приложение 4'!E255</f>
        <v>09100S6680</v>
      </c>
      <c r="D166" s="193">
        <f>'приложение 4'!F255</f>
        <v>810</v>
      </c>
      <c r="E166" s="192" t="s">
        <v>108</v>
      </c>
      <c r="F166" s="29">
        <f>'приложение 4'!G255</f>
        <v>600000</v>
      </c>
      <c r="G166" s="29">
        <f>'приложение 4'!H255</f>
        <v>30000</v>
      </c>
      <c r="H166" s="29">
        <f>'приложение 4'!I255</f>
        <v>30000</v>
      </c>
    </row>
    <row r="167" spans="1:8" ht="28.5">
      <c r="A167" s="202">
        <v>122</v>
      </c>
      <c r="B167" s="84" t="s">
        <v>485</v>
      </c>
      <c r="C167" s="50" t="s">
        <v>377</v>
      </c>
      <c r="D167" s="204"/>
      <c r="E167" s="203"/>
      <c r="F167" s="52">
        <v>0</v>
      </c>
      <c r="G167" s="52">
        <v>0</v>
      </c>
      <c r="H167" s="52">
        <v>0</v>
      </c>
    </row>
    <row r="168" spans="1:8" ht="28.5">
      <c r="A168" s="146">
        <v>123</v>
      </c>
      <c r="B168" s="72" t="s">
        <v>266</v>
      </c>
      <c r="C168" s="50" t="s">
        <v>486</v>
      </c>
      <c r="D168" s="49"/>
      <c r="E168" s="50"/>
      <c r="F168" s="52">
        <f>F169+F170</f>
        <v>1147100</v>
      </c>
      <c r="G168" s="52">
        <f t="shared" ref="G168:H168" si="30">G169+G170</f>
        <v>1062700</v>
      </c>
      <c r="H168" s="52">
        <f t="shared" si="30"/>
        <v>1062700</v>
      </c>
    </row>
    <row r="169" spans="1:8" ht="36" customHeight="1">
      <c r="A169" s="343">
        <v>124</v>
      </c>
      <c r="B169" s="351" t="s">
        <v>42</v>
      </c>
      <c r="C169" s="354" t="str">
        <f>'приложение 4'!E223</f>
        <v>0930075170</v>
      </c>
      <c r="D169" s="30">
        <v>120</v>
      </c>
      <c r="E169" s="31" t="s">
        <v>104</v>
      </c>
      <c r="F169" s="29">
        <f>'приложение 4'!G225</f>
        <v>1042738.06</v>
      </c>
      <c r="G169" s="29">
        <f>'приложение 4'!H225</f>
        <v>958338.06</v>
      </c>
      <c r="H169" s="29">
        <f>'приложение 4'!I225</f>
        <v>958338.06</v>
      </c>
    </row>
    <row r="170" spans="1:8" ht="37.5" customHeight="1">
      <c r="A170" s="343"/>
      <c r="B170" s="351"/>
      <c r="C170" s="354"/>
      <c r="D170" s="30">
        <v>240</v>
      </c>
      <c r="E170" s="31" t="s">
        <v>104</v>
      </c>
      <c r="F170" s="29">
        <f>'приложение 4'!G227</f>
        <v>104361.94</v>
      </c>
      <c r="G170" s="29">
        <f>'приложение 4'!H227</f>
        <v>104361.94</v>
      </c>
      <c r="H170" s="29">
        <f>'приложение 4'!I227</f>
        <v>104361.94</v>
      </c>
    </row>
    <row r="171" spans="1:8" ht="28.5">
      <c r="A171" s="146">
        <v>125</v>
      </c>
      <c r="B171" s="72" t="s">
        <v>225</v>
      </c>
      <c r="C171" s="49">
        <v>1000000000</v>
      </c>
      <c r="D171" s="49"/>
      <c r="E171" s="50"/>
      <c r="F171" s="52">
        <f>F172+F177+F178+F179+F183</f>
        <v>56412428.950000003</v>
      </c>
      <c r="G171" s="52">
        <f>G172+G177+G178+G179+G183</f>
        <v>56220352.159999996</v>
      </c>
      <c r="H171" s="52">
        <f>H172+H177+H178+H179+H183</f>
        <v>56230852.159999996</v>
      </c>
    </row>
    <row r="172" spans="1:8" ht="30">
      <c r="A172" s="146">
        <v>126</v>
      </c>
      <c r="B172" s="45" t="s">
        <v>312</v>
      </c>
      <c r="C172" s="59">
        <v>1010000000</v>
      </c>
      <c r="D172" s="49"/>
      <c r="E172" s="50"/>
      <c r="F172" s="42">
        <f>F173+F175+F174+F176</f>
        <v>31124225.43</v>
      </c>
      <c r="G172" s="42">
        <f t="shared" ref="G172:H172" si="31">G173+G175+G174+G176</f>
        <v>31124225.43</v>
      </c>
      <c r="H172" s="42">
        <f t="shared" si="31"/>
        <v>31124225.43</v>
      </c>
    </row>
    <row r="173" spans="1:8" ht="59.25" customHeight="1">
      <c r="A173" s="357">
        <v>127</v>
      </c>
      <c r="B173" s="371" t="s">
        <v>44</v>
      </c>
      <c r="C173" s="357">
        <f>'приложение 4'!E231</f>
        <v>1010023580</v>
      </c>
      <c r="D173" s="30">
        <v>810</v>
      </c>
      <c r="E173" s="31" t="s">
        <v>105</v>
      </c>
      <c r="F173" s="29">
        <f>'приложение 4'!G233</f>
        <v>25096210</v>
      </c>
      <c r="G173" s="29">
        <f>'приложение 4'!H233</f>
        <v>25096210</v>
      </c>
      <c r="H173" s="29">
        <f>'приложение 4'!I233</f>
        <v>25096210</v>
      </c>
    </row>
    <row r="174" spans="1:8" ht="36" customHeight="1">
      <c r="A174" s="359"/>
      <c r="B174" s="372"/>
      <c r="C174" s="359"/>
      <c r="D174" s="206">
        <v>240</v>
      </c>
      <c r="E174" s="211" t="s">
        <v>105</v>
      </c>
      <c r="F174" s="29">
        <f>'приложение 4'!G235</f>
        <v>15.43</v>
      </c>
      <c r="G174" s="29">
        <f>'приложение 4'!H235</f>
        <v>15.43</v>
      </c>
      <c r="H174" s="29">
        <f>'приложение 4'!I235</f>
        <v>15.43</v>
      </c>
    </row>
    <row r="175" spans="1:8" ht="47.25" customHeight="1">
      <c r="A175" s="357">
        <v>128</v>
      </c>
      <c r="B175" s="373" t="s">
        <v>267</v>
      </c>
      <c r="C175" s="357">
        <f>'приложение 4'!E238</f>
        <v>1010023590</v>
      </c>
      <c r="D175" s="30">
        <v>810</v>
      </c>
      <c r="E175" s="31" t="s">
        <v>105</v>
      </c>
      <c r="F175" s="29">
        <f>'приложение 4'!G238</f>
        <v>6027900</v>
      </c>
      <c r="G175" s="29">
        <f>'приложение 4'!H238</f>
        <v>6027900</v>
      </c>
      <c r="H175" s="29">
        <f>'приложение 4'!I238</f>
        <v>6027900</v>
      </c>
    </row>
    <row r="176" spans="1:8" ht="52.5" customHeight="1">
      <c r="A176" s="359"/>
      <c r="B176" s="374"/>
      <c r="C176" s="359"/>
      <c r="D176" s="206">
        <v>240</v>
      </c>
      <c r="E176" s="211" t="s">
        <v>105</v>
      </c>
      <c r="F176" s="29">
        <f>'приложение 4'!G240</f>
        <v>100</v>
      </c>
      <c r="G176" s="29">
        <f>'приложение 4'!H240</f>
        <v>100</v>
      </c>
      <c r="H176" s="29">
        <f>'приложение 4'!I240</f>
        <v>100</v>
      </c>
    </row>
    <row r="177" spans="1:8" ht="30">
      <c r="A177" s="146">
        <v>129</v>
      </c>
      <c r="B177" s="45" t="s">
        <v>140</v>
      </c>
      <c r="C177" s="59">
        <v>1020000000</v>
      </c>
      <c r="D177" s="49"/>
      <c r="E177" s="50"/>
      <c r="F177" s="42">
        <v>0</v>
      </c>
      <c r="G177" s="42">
        <v>0</v>
      </c>
      <c r="H177" s="42">
        <v>0</v>
      </c>
    </row>
    <row r="178" spans="1:8" ht="30">
      <c r="A178" s="146">
        <v>130</v>
      </c>
      <c r="B178" s="45" t="s">
        <v>296</v>
      </c>
      <c r="C178" s="59">
        <v>1030000000</v>
      </c>
      <c r="D178" s="59"/>
      <c r="E178" s="47"/>
      <c r="F178" s="42">
        <v>0</v>
      </c>
      <c r="G178" s="42">
        <v>0</v>
      </c>
      <c r="H178" s="42">
        <v>0</v>
      </c>
    </row>
    <row r="179" spans="1:8" ht="30">
      <c r="A179" s="146">
        <v>131</v>
      </c>
      <c r="B179" s="45" t="s">
        <v>313</v>
      </c>
      <c r="C179" s="59">
        <v>1040000000</v>
      </c>
      <c r="D179" s="59"/>
      <c r="E179" s="47"/>
      <c r="F179" s="42">
        <f>F180+F182</f>
        <v>25288203.520000003</v>
      </c>
      <c r="G179" s="42">
        <f t="shared" ref="G179:H179" si="32">G180+G182</f>
        <v>25096126.73</v>
      </c>
      <c r="H179" s="42">
        <f t="shared" si="32"/>
        <v>25106626.73</v>
      </c>
    </row>
    <row r="180" spans="1:8" ht="37.5" customHeight="1">
      <c r="A180" s="357">
        <v>132</v>
      </c>
      <c r="B180" s="385" t="s">
        <v>460</v>
      </c>
      <c r="C180" s="357">
        <f>'приложение 4'!E63</f>
        <v>1040082230</v>
      </c>
      <c r="D180" s="391">
        <v>540</v>
      </c>
      <c r="E180" s="375" t="s">
        <v>107</v>
      </c>
      <c r="F180" s="341">
        <f>'приложение 4'!G65</f>
        <v>23470389.690000001</v>
      </c>
      <c r="G180" s="341">
        <f>'приложение 4'!H65</f>
        <v>24066926.73</v>
      </c>
      <c r="H180" s="341">
        <f>'приложение 4'!I65</f>
        <v>24066926.73</v>
      </c>
    </row>
    <row r="181" spans="1:8" ht="43.5" customHeight="1">
      <c r="A181" s="359"/>
      <c r="B181" s="386"/>
      <c r="C181" s="359"/>
      <c r="D181" s="392"/>
      <c r="E181" s="376"/>
      <c r="F181" s="342"/>
      <c r="G181" s="342"/>
      <c r="H181" s="342"/>
    </row>
    <row r="182" spans="1:8" ht="69.75" customHeight="1">
      <c r="A182" s="169">
        <v>133</v>
      </c>
      <c r="B182" s="172" t="s">
        <v>459</v>
      </c>
      <c r="C182" s="171">
        <f>'приложение 4'!E244</f>
        <v>1040082240</v>
      </c>
      <c r="D182" s="170">
        <v>240</v>
      </c>
      <c r="E182" s="173" t="s">
        <v>107</v>
      </c>
      <c r="F182" s="168">
        <f>'приложение 4'!G246</f>
        <v>1817813.83</v>
      </c>
      <c r="G182" s="168">
        <f>'приложение 4'!H246</f>
        <v>1029200</v>
      </c>
      <c r="H182" s="168">
        <f>'приложение 4'!I246</f>
        <v>1039700</v>
      </c>
    </row>
    <row r="183" spans="1:8" ht="21.75" customHeight="1">
      <c r="A183" s="146">
        <v>134</v>
      </c>
      <c r="B183" s="57" t="s">
        <v>39</v>
      </c>
      <c r="C183" s="59"/>
      <c r="D183" s="59"/>
      <c r="E183" s="47"/>
      <c r="F183" s="42">
        <v>0</v>
      </c>
      <c r="G183" s="42">
        <v>0</v>
      </c>
      <c r="H183" s="42">
        <v>0</v>
      </c>
    </row>
    <row r="184" spans="1:8" ht="42.75">
      <c r="A184" s="146">
        <v>135</v>
      </c>
      <c r="B184" s="72" t="s">
        <v>226</v>
      </c>
      <c r="C184" s="49">
        <v>1100000000</v>
      </c>
      <c r="D184" s="30"/>
      <c r="E184" s="31"/>
      <c r="F184" s="52">
        <f>F185+F186+F188+F191+F195+F199</f>
        <v>13169345.719999999</v>
      </c>
      <c r="G184" s="52">
        <f>G185+G186+G188+G191+G195+G199</f>
        <v>11984086.300000001</v>
      </c>
      <c r="H184" s="52">
        <f>H185+H186+H188+H191+H195+H199</f>
        <v>11795911.439999999</v>
      </c>
    </row>
    <row r="185" spans="1:8" ht="30">
      <c r="A185" s="146">
        <v>136</v>
      </c>
      <c r="B185" s="45" t="s">
        <v>141</v>
      </c>
      <c r="C185" s="59">
        <v>1110000000</v>
      </c>
      <c r="D185" s="49"/>
      <c r="E185" s="50"/>
      <c r="F185" s="42">
        <v>0</v>
      </c>
      <c r="G185" s="42">
        <v>0</v>
      </c>
      <c r="H185" s="42">
        <v>0</v>
      </c>
    </row>
    <row r="186" spans="1:8" ht="30">
      <c r="A186" s="146">
        <v>137</v>
      </c>
      <c r="B186" s="45" t="s">
        <v>142</v>
      </c>
      <c r="C186" s="59">
        <v>1120000000</v>
      </c>
      <c r="D186" s="49"/>
      <c r="E186" s="50"/>
      <c r="F186" s="42">
        <f t="shared" ref="F186:H186" si="33">F187</f>
        <v>1571445.72</v>
      </c>
      <c r="G186" s="42">
        <f t="shared" si="33"/>
        <v>1853736.3</v>
      </c>
      <c r="H186" s="42">
        <f t="shared" si="33"/>
        <v>1821661.44</v>
      </c>
    </row>
    <row r="187" spans="1:8" ht="28.5" customHeight="1">
      <c r="A187" s="146">
        <v>138</v>
      </c>
      <c r="B187" s="68" t="s">
        <v>147</v>
      </c>
      <c r="C187" s="53" t="str">
        <f>'приложение 4'!E323</f>
        <v>11200L4970</v>
      </c>
      <c r="D187" s="30">
        <v>320</v>
      </c>
      <c r="E187" s="31" t="s">
        <v>127</v>
      </c>
      <c r="F187" s="29">
        <f>'приложение 4'!G325</f>
        <v>1571445.72</v>
      </c>
      <c r="G187" s="29">
        <f>'приложение 4'!H325</f>
        <v>1853736.3</v>
      </c>
      <c r="H187" s="29">
        <f>'приложение 4'!I325</f>
        <v>1821661.44</v>
      </c>
    </row>
    <row r="188" spans="1:8" ht="45">
      <c r="A188" s="146">
        <v>139</v>
      </c>
      <c r="B188" s="45" t="s">
        <v>143</v>
      </c>
      <c r="C188" s="59">
        <v>1130000000</v>
      </c>
      <c r="D188" s="49"/>
      <c r="E188" s="50"/>
      <c r="F188" s="42">
        <f>F189+F190</f>
        <v>1361250</v>
      </c>
      <c r="G188" s="42">
        <f t="shared" ref="G188:H188" si="34">G189</f>
        <v>0</v>
      </c>
      <c r="H188" s="42">
        <f t="shared" si="34"/>
        <v>0</v>
      </c>
    </row>
    <row r="189" spans="1:8" ht="36" customHeight="1">
      <c r="A189" s="206">
        <v>140</v>
      </c>
      <c r="B189" s="212" t="s">
        <v>525</v>
      </c>
      <c r="C189" s="211" t="str">
        <f>'приложение 4'!E258</f>
        <v>1130084670</v>
      </c>
      <c r="D189" s="206">
        <v>240</v>
      </c>
      <c r="E189" s="211" t="s">
        <v>108</v>
      </c>
      <c r="F189" s="29">
        <f>'приложение 4'!G260</f>
        <v>1261250</v>
      </c>
      <c r="G189" s="29">
        <f>'приложение 4'!H260</f>
        <v>0</v>
      </c>
      <c r="H189" s="29">
        <f>'приложение 4'!I260</f>
        <v>0</v>
      </c>
    </row>
    <row r="190" spans="1:8" ht="114" customHeight="1">
      <c r="A190" s="288">
        <v>141</v>
      </c>
      <c r="B190" s="293" t="s">
        <v>605</v>
      </c>
      <c r="C190" s="287" t="s">
        <v>606</v>
      </c>
      <c r="D190" s="288">
        <v>240</v>
      </c>
      <c r="E190" s="287" t="s">
        <v>108</v>
      </c>
      <c r="F190" s="29">
        <f>'приложение 4'!G261</f>
        <v>100000</v>
      </c>
      <c r="G190" s="29">
        <v>0</v>
      </c>
      <c r="H190" s="29">
        <v>0</v>
      </c>
    </row>
    <row r="191" spans="1:8" ht="75">
      <c r="A191" s="146">
        <v>142</v>
      </c>
      <c r="B191" s="205" t="s">
        <v>483</v>
      </c>
      <c r="C191" s="59">
        <v>1140000000</v>
      </c>
      <c r="D191" s="49"/>
      <c r="E191" s="50"/>
      <c r="F191" s="42">
        <f>F192+F194+F193</f>
        <v>5731550</v>
      </c>
      <c r="G191" s="42">
        <f t="shared" ref="G191:H191" si="35">G192+G194+G193</f>
        <v>5731550</v>
      </c>
      <c r="H191" s="42">
        <f t="shared" si="35"/>
        <v>5731550</v>
      </c>
    </row>
    <row r="192" spans="1:8">
      <c r="A192" s="357">
        <v>143</v>
      </c>
      <c r="B192" s="369" t="s">
        <v>386</v>
      </c>
      <c r="C192" s="394">
        <f>'приложение 4'!E270</f>
        <v>1140092030</v>
      </c>
      <c r="D192" s="149">
        <v>240</v>
      </c>
      <c r="E192" s="148" t="s">
        <v>372</v>
      </c>
      <c r="F192" s="42">
        <f>'приложение 4'!G270</f>
        <v>179840</v>
      </c>
      <c r="G192" s="42">
        <f>'приложение 4'!H270</f>
        <v>179840</v>
      </c>
      <c r="H192" s="42">
        <f>'приложение 4'!I270</f>
        <v>179840</v>
      </c>
    </row>
    <row r="193" spans="1:8">
      <c r="A193" s="359"/>
      <c r="B193" s="370"/>
      <c r="C193" s="395"/>
      <c r="D193" s="185">
        <v>850</v>
      </c>
      <c r="E193" s="183" t="s">
        <v>372</v>
      </c>
      <c r="F193" s="42">
        <f>'приложение 4'!G272</f>
        <v>10460</v>
      </c>
      <c r="G193" s="42">
        <f>'приложение 4'!H272</f>
        <v>10460</v>
      </c>
      <c r="H193" s="42">
        <f>'приложение 4'!I272</f>
        <v>10460</v>
      </c>
    </row>
    <row r="194" spans="1:8" ht="90">
      <c r="A194" s="146">
        <v>144</v>
      </c>
      <c r="B194" s="126" t="s">
        <v>422</v>
      </c>
      <c r="C194" s="124">
        <f>'приложение 4'!E182</f>
        <v>1140092040</v>
      </c>
      <c r="D194" s="125">
        <v>240</v>
      </c>
      <c r="E194" s="123" t="s">
        <v>94</v>
      </c>
      <c r="F194" s="51">
        <f>'приложение 4'!G184</f>
        <v>5541250</v>
      </c>
      <c r="G194" s="51">
        <f>'приложение 4'!H184</f>
        <v>5541250</v>
      </c>
      <c r="H194" s="51">
        <f>'приложение 4'!I184</f>
        <v>5541250</v>
      </c>
    </row>
    <row r="195" spans="1:8" ht="45">
      <c r="A195" s="146">
        <v>145</v>
      </c>
      <c r="B195" s="93" t="s">
        <v>144</v>
      </c>
      <c r="C195" s="59">
        <v>1150000000</v>
      </c>
      <c r="D195" s="49"/>
      <c r="E195" s="50"/>
      <c r="F195" s="42">
        <f>F196+F197+F198</f>
        <v>3405600</v>
      </c>
      <c r="G195" s="42">
        <f t="shared" ref="G195:H195" si="36">G196+G197+G198</f>
        <v>3383700</v>
      </c>
      <c r="H195" s="42">
        <f t="shared" si="36"/>
        <v>3227600</v>
      </c>
    </row>
    <row r="196" spans="1:8" ht="24.75" customHeight="1">
      <c r="A196" s="357">
        <v>146</v>
      </c>
      <c r="B196" s="371" t="s">
        <v>59</v>
      </c>
      <c r="C196" s="357">
        <f>'приложение 4'!E329</f>
        <v>1150075870</v>
      </c>
      <c r="D196" s="30">
        <v>410</v>
      </c>
      <c r="E196" s="31" t="s">
        <v>166</v>
      </c>
      <c r="F196" s="29">
        <f>'приложение 4'!G331</f>
        <v>3290165.45</v>
      </c>
      <c r="G196" s="29">
        <f>'приложение 4'!H331</f>
        <v>3277679.33</v>
      </c>
      <c r="H196" s="29">
        <f>'приложение 4'!I331</f>
        <v>3121599.36</v>
      </c>
    </row>
    <row r="197" spans="1:8" ht="24.75" customHeight="1">
      <c r="A197" s="358"/>
      <c r="B197" s="388"/>
      <c r="C197" s="358"/>
      <c r="D197" s="195">
        <v>120</v>
      </c>
      <c r="E197" s="192" t="s">
        <v>128</v>
      </c>
      <c r="F197" s="29">
        <f>'приложение 4'!G359</f>
        <v>111742.17</v>
      </c>
      <c r="G197" s="29">
        <f>'приложение 4'!H359</f>
        <v>102542.17</v>
      </c>
      <c r="H197" s="29">
        <f>'приложение 4'!I359</f>
        <v>102542.17</v>
      </c>
    </row>
    <row r="198" spans="1:8" ht="36" customHeight="1">
      <c r="A198" s="359"/>
      <c r="B198" s="372"/>
      <c r="C198" s="359"/>
      <c r="D198" s="195">
        <v>240</v>
      </c>
      <c r="E198" s="192" t="s">
        <v>128</v>
      </c>
      <c r="F198" s="29">
        <f>'приложение 4'!G361</f>
        <v>3692.38</v>
      </c>
      <c r="G198" s="29">
        <f>'приложение 4'!H361</f>
        <v>3478.5</v>
      </c>
      <c r="H198" s="29">
        <f>'приложение 4'!I361</f>
        <v>3458.47</v>
      </c>
    </row>
    <row r="199" spans="1:8">
      <c r="A199" s="146">
        <v>147</v>
      </c>
      <c r="B199" s="44" t="s">
        <v>145</v>
      </c>
      <c r="C199" s="59"/>
      <c r="D199" s="49"/>
      <c r="E199" s="50"/>
      <c r="F199" s="42">
        <f t="shared" ref="F199:G199" si="37">F200+F201</f>
        <v>1099500</v>
      </c>
      <c r="G199" s="42">
        <f t="shared" si="37"/>
        <v>1015100</v>
      </c>
      <c r="H199" s="42">
        <f t="shared" ref="H199" si="38">H200+H201</f>
        <v>1015100</v>
      </c>
    </row>
    <row r="200" spans="1:8" ht="24.75" customHeight="1">
      <c r="A200" s="343">
        <v>148</v>
      </c>
      <c r="B200" s="344" t="s">
        <v>265</v>
      </c>
      <c r="C200" s="343">
        <f>'приложение 4'!E186</f>
        <v>1190074670</v>
      </c>
      <c r="D200" s="30">
        <v>120</v>
      </c>
      <c r="E200" s="31" t="s">
        <v>94</v>
      </c>
      <c r="F200" s="29">
        <f>'приложение 4'!G188</f>
        <v>1067738.06</v>
      </c>
      <c r="G200" s="29">
        <f>'приложение 4'!H188</f>
        <v>958338.06</v>
      </c>
      <c r="H200" s="29">
        <f>'приложение 4'!I188</f>
        <v>958338.06</v>
      </c>
    </row>
    <row r="201" spans="1:8" ht="35.25" customHeight="1">
      <c r="A201" s="343"/>
      <c r="B201" s="344"/>
      <c r="C201" s="343"/>
      <c r="D201" s="30">
        <v>240</v>
      </c>
      <c r="E201" s="31" t="s">
        <v>94</v>
      </c>
      <c r="F201" s="29">
        <f>'приложение 4'!G190</f>
        <v>31761.940000000002</v>
      </c>
      <c r="G201" s="29">
        <f>'приложение 4'!H190</f>
        <v>56761.94</v>
      </c>
      <c r="H201" s="29">
        <f>'приложение 4'!I190</f>
        <v>56761.94</v>
      </c>
    </row>
    <row r="202" spans="1:8" ht="57.75" customHeight="1">
      <c r="A202" s="206">
        <v>149</v>
      </c>
      <c r="B202" s="84" t="s">
        <v>499</v>
      </c>
      <c r="C202" s="49">
        <v>1200000000</v>
      </c>
      <c r="D202" s="206"/>
      <c r="E202" s="211"/>
      <c r="F202" s="29">
        <f>F203</f>
        <v>8096800</v>
      </c>
      <c r="G202" s="29">
        <f t="shared" ref="G202:H202" si="39">G203</f>
        <v>5479500</v>
      </c>
      <c r="H202" s="29">
        <f t="shared" si="39"/>
        <v>5479500</v>
      </c>
    </row>
    <row r="203" spans="1:8" ht="49.5" customHeight="1">
      <c r="A203" s="206">
        <v>150</v>
      </c>
      <c r="B203" s="215" t="s">
        <v>494</v>
      </c>
      <c r="C203" s="208">
        <v>1210000000</v>
      </c>
      <c r="D203" s="206"/>
      <c r="E203" s="211"/>
      <c r="F203" s="29">
        <f>F204+F205+F206+F207+F208+F209+F210</f>
        <v>8096800</v>
      </c>
      <c r="G203" s="29">
        <f t="shared" ref="G203:H203" si="40">G204+G205+G206+G207+G208+G209</f>
        <v>5479500</v>
      </c>
      <c r="H203" s="29">
        <f t="shared" si="40"/>
        <v>5479500</v>
      </c>
    </row>
    <row r="204" spans="1:8" ht="34.5" customHeight="1">
      <c r="A204" s="357">
        <v>151</v>
      </c>
      <c r="B204" s="379" t="s">
        <v>50</v>
      </c>
      <c r="C204" s="361" t="str">
        <f>'приложение 4'!E286</f>
        <v>1210075180</v>
      </c>
      <c r="D204" s="206">
        <v>120</v>
      </c>
      <c r="E204" s="211" t="s">
        <v>415</v>
      </c>
      <c r="F204" s="29">
        <f>'приложение 4'!G288</f>
        <v>104234</v>
      </c>
      <c r="G204" s="29">
        <f>'приложение 4'!H288</f>
        <v>95835</v>
      </c>
      <c r="H204" s="29">
        <f>'приложение 4'!I288</f>
        <v>95835</v>
      </c>
    </row>
    <row r="205" spans="1:8" ht="47.25" customHeight="1">
      <c r="A205" s="359"/>
      <c r="B205" s="380"/>
      <c r="C205" s="363"/>
      <c r="D205" s="206">
        <v>240</v>
      </c>
      <c r="E205" s="211" t="s">
        <v>415</v>
      </c>
      <c r="F205" s="29">
        <f>'приложение 4'!G290</f>
        <v>492566</v>
      </c>
      <c r="G205" s="29">
        <f>'приложение 4'!H290</f>
        <v>383665</v>
      </c>
      <c r="H205" s="29">
        <f>'приложение 4'!I290</f>
        <v>383665</v>
      </c>
    </row>
    <row r="206" spans="1:8" ht="47.25" customHeight="1">
      <c r="A206" s="213">
        <v>152</v>
      </c>
      <c r="B206" s="238" t="s">
        <v>476</v>
      </c>
      <c r="C206" s="237" t="str">
        <f>'приложение 4'!E294</f>
        <v>12100S4630</v>
      </c>
      <c r="D206" s="206">
        <v>240</v>
      </c>
      <c r="E206" s="211" t="s">
        <v>421</v>
      </c>
      <c r="F206" s="29">
        <f>'приложение 4'!G294</f>
        <v>0</v>
      </c>
      <c r="G206" s="29">
        <f>'приложение 4'!H294</f>
        <v>0</v>
      </c>
      <c r="H206" s="29">
        <f>'приложение 4'!I294</f>
        <v>0</v>
      </c>
    </row>
    <row r="207" spans="1:8" ht="96" customHeight="1">
      <c r="A207" s="236">
        <v>153</v>
      </c>
      <c r="B207" s="238" t="str">
        <f>'приложение 4'!B295</f>
        <v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7" s="239" t="str">
        <f>'приложение 4'!E295</f>
        <v>1210089110</v>
      </c>
      <c r="D207" s="234">
        <v>240</v>
      </c>
      <c r="E207" s="235" t="s">
        <v>421</v>
      </c>
      <c r="F207" s="29">
        <f>'приложение 4'!G297</f>
        <v>0</v>
      </c>
      <c r="G207" s="29">
        <f>'приложение 4'!H297</f>
        <v>0</v>
      </c>
      <c r="H207" s="29">
        <f>'приложение 4'!I297</f>
        <v>0</v>
      </c>
    </row>
    <row r="208" spans="1:8" ht="87" customHeight="1">
      <c r="A208" s="236">
        <v>154</v>
      </c>
      <c r="B208" s="238" t="str">
        <f>'приложение 4'!B298</f>
        <v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8" s="239" t="str">
        <f>'приложение 4'!E298</f>
        <v>1210089120</v>
      </c>
      <c r="D208" s="234">
        <v>240</v>
      </c>
      <c r="E208" s="235" t="s">
        <v>421</v>
      </c>
      <c r="F208" s="29">
        <f>'приложение 4'!G300</f>
        <v>0</v>
      </c>
      <c r="G208" s="29">
        <f>'приложение 4'!H300</f>
        <v>5000000</v>
      </c>
      <c r="H208" s="29">
        <f>'приложение 4'!I300</f>
        <v>0</v>
      </c>
    </row>
    <row r="209" spans="1:8" ht="47.25" customHeight="1">
      <c r="A209" s="236">
        <v>155</v>
      </c>
      <c r="B209" s="377" t="str">
        <f>'приложение 4'!B301</f>
        <v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9" s="375" t="str">
        <f>'приложение 4'!E301</f>
        <v>1210089130</v>
      </c>
      <c r="D209" s="234">
        <v>240</v>
      </c>
      <c r="E209" s="235" t="s">
        <v>421</v>
      </c>
      <c r="F209" s="29">
        <f>'приложение 4'!G303</f>
        <v>2500000</v>
      </c>
      <c r="G209" s="29">
        <f>'приложение 4'!H303</f>
        <v>0</v>
      </c>
      <c r="H209" s="29">
        <f>'приложение 4'!I303</f>
        <v>5000000</v>
      </c>
    </row>
    <row r="210" spans="1:8" ht="47.25" customHeight="1">
      <c r="A210" s="281">
        <v>156</v>
      </c>
      <c r="B210" s="378"/>
      <c r="C210" s="376"/>
      <c r="D210" s="279">
        <v>540</v>
      </c>
      <c r="E210" s="280" t="s">
        <v>421</v>
      </c>
      <c r="F210" s="29">
        <f>'приложение 4'!G77</f>
        <v>5000000</v>
      </c>
      <c r="G210" s="29">
        <f>'приложение 4'!H77</f>
        <v>0</v>
      </c>
      <c r="H210" s="29">
        <f>'приложение 4'!I77</f>
        <v>0</v>
      </c>
    </row>
    <row r="211" spans="1:8" ht="30">
      <c r="A211" s="146">
        <v>157</v>
      </c>
      <c r="B211" s="73" t="s">
        <v>331</v>
      </c>
      <c r="C211" s="59">
        <v>8100000000</v>
      </c>
      <c r="D211" s="59"/>
      <c r="E211" s="47"/>
      <c r="F211" s="42">
        <f t="shared" ref="F211:H211" si="41">F212</f>
        <v>8346127.9500000002</v>
      </c>
      <c r="G211" s="42">
        <f t="shared" si="41"/>
        <v>8029741.9500000002</v>
      </c>
      <c r="H211" s="42">
        <f t="shared" si="41"/>
        <v>8029741.9500000002</v>
      </c>
    </row>
    <row r="212" spans="1:8">
      <c r="A212" s="146">
        <v>158</v>
      </c>
      <c r="B212" s="57" t="s">
        <v>279</v>
      </c>
      <c r="C212" s="59">
        <v>8110000000</v>
      </c>
      <c r="D212" s="59"/>
      <c r="E212" s="47"/>
      <c r="F212" s="42">
        <f t="shared" ref="F212" si="42">F213+F214+F216+F217+F218+F215</f>
        <v>8346127.9500000002</v>
      </c>
      <c r="G212" s="42">
        <f t="shared" ref="G212" si="43">G213+G214+G216+G217+G218+G215</f>
        <v>8029741.9500000002</v>
      </c>
      <c r="H212" s="42">
        <f t="shared" ref="H212" si="44">H213+H214+H216+H217+H218+H215</f>
        <v>8029741.9500000002</v>
      </c>
    </row>
    <row r="213" spans="1:8" ht="28.5" customHeight="1">
      <c r="A213" s="357">
        <v>159</v>
      </c>
      <c r="B213" s="371" t="s">
        <v>323</v>
      </c>
      <c r="C213" s="357">
        <v>8110000210</v>
      </c>
      <c r="D213" s="70">
        <v>120</v>
      </c>
      <c r="E213" s="71" t="s">
        <v>90</v>
      </c>
      <c r="F213" s="51">
        <f>'приложение 4'!G706</f>
        <v>2515161.27</v>
      </c>
      <c r="G213" s="51">
        <f>'приложение 4'!H706</f>
        <v>2388606.87</v>
      </c>
      <c r="H213" s="51">
        <f>'приложение 4'!I706</f>
        <v>2388606.87</v>
      </c>
    </row>
    <row r="214" spans="1:8" ht="27.75" customHeight="1">
      <c r="A214" s="358"/>
      <c r="B214" s="388"/>
      <c r="C214" s="358"/>
      <c r="D214" s="70">
        <v>240</v>
      </c>
      <c r="E214" s="71" t="s">
        <v>90</v>
      </c>
      <c r="F214" s="51">
        <f>'приложение 4'!G708</f>
        <v>526910</v>
      </c>
      <c r="G214" s="51">
        <f>'приложение 4'!H708</f>
        <v>526910</v>
      </c>
      <c r="H214" s="51">
        <f>'приложение 4'!I708</f>
        <v>526910</v>
      </c>
    </row>
    <row r="215" spans="1:8" ht="43.5" customHeight="1">
      <c r="A215" s="359"/>
      <c r="B215" s="372"/>
      <c r="C215" s="359"/>
      <c r="D215" s="94">
        <v>850</v>
      </c>
      <c r="E215" s="95" t="s">
        <v>90</v>
      </c>
      <c r="F215" s="51">
        <f>'приложение 4'!G710</f>
        <v>500</v>
      </c>
      <c r="G215" s="51">
        <f>'приложение 4'!H710</f>
        <v>500</v>
      </c>
      <c r="H215" s="51">
        <f>'приложение 4'!I710</f>
        <v>500</v>
      </c>
    </row>
    <row r="216" spans="1:8" ht="63" customHeight="1">
      <c r="A216" s="146">
        <v>160</v>
      </c>
      <c r="B216" s="68" t="s">
        <v>324</v>
      </c>
      <c r="C216" s="30">
        <f>'приложение 4'!E711</f>
        <v>8110000220</v>
      </c>
      <c r="D216" s="70">
        <v>120</v>
      </c>
      <c r="E216" s="71" t="s">
        <v>90</v>
      </c>
      <c r="F216" s="51">
        <f>'приложение 4'!G713</f>
        <v>633193.85</v>
      </c>
      <c r="G216" s="51">
        <f>'приложение 4'!H713</f>
        <v>569916.65</v>
      </c>
      <c r="H216" s="51">
        <f>'приложение 4'!I713</f>
        <v>569916.65</v>
      </c>
    </row>
    <row r="217" spans="1:8" ht="50.25" customHeight="1">
      <c r="A217" s="146">
        <v>161</v>
      </c>
      <c r="B217" s="55" t="s">
        <v>396</v>
      </c>
      <c r="C217" s="30">
        <f>'приложение 4'!E714</f>
        <v>8110000230</v>
      </c>
      <c r="D217" s="70">
        <v>120</v>
      </c>
      <c r="E217" s="71" t="s">
        <v>90</v>
      </c>
      <c r="F217" s="51">
        <f>'приложение 4'!G716</f>
        <v>2322127</v>
      </c>
      <c r="G217" s="51">
        <f>'приложение 4'!H716</f>
        <v>2258849.7999999998</v>
      </c>
      <c r="H217" s="51">
        <f>'приложение 4'!I716</f>
        <v>2258849.7999999998</v>
      </c>
    </row>
    <row r="218" spans="1:8" ht="29.25" customHeight="1">
      <c r="A218" s="146">
        <v>162</v>
      </c>
      <c r="B218" s="68" t="s">
        <v>321</v>
      </c>
      <c r="C218" s="30">
        <v>8110000240</v>
      </c>
      <c r="D218" s="70">
        <v>120</v>
      </c>
      <c r="E218" s="71" t="s">
        <v>90</v>
      </c>
      <c r="F218" s="51">
        <f>'приложение 4'!G719</f>
        <v>2348235.83</v>
      </c>
      <c r="G218" s="51">
        <f>'приложение 4'!H719</f>
        <v>2284958.63</v>
      </c>
      <c r="H218" s="51">
        <f>'приложение 4'!I719</f>
        <v>2284958.63</v>
      </c>
    </row>
    <row r="219" spans="1:8" ht="28.5">
      <c r="A219" s="146">
        <v>163</v>
      </c>
      <c r="B219" s="77" t="s">
        <v>300</v>
      </c>
      <c r="C219" s="49">
        <v>8200000000</v>
      </c>
      <c r="D219" s="49"/>
      <c r="E219" s="49"/>
      <c r="F219" s="78">
        <f t="shared" ref="F219:H219" si="45">F220</f>
        <v>4727782.6499999994</v>
      </c>
      <c r="G219" s="78">
        <f t="shared" si="45"/>
        <v>4537950.6499999994</v>
      </c>
      <c r="H219" s="78">
        <f t="shared" si="45"/>
        <v>4109739.6499999994</v>
      </c>
    </row>
    <row r="220" spans="1:8" ht="30">
      <c r="A220" s="146">
        <v>164</v>
      </c>
      <c r="B220" s="57" t="s">
        <v>278</v>
      </c>
      <c r="C220" s="59">
        <v>8210000000</v>
      </c>
      <c r="D220" s="59"/>
      <c r="E220" s="59"/>
      <c r="F220" s="154">
        <f>F221+F222+F223+F224+F225</f>
        <v>4727782.6499999994</v>
      </c>
      <c r="G220" s="207">
        <f t="shared" ref="G220:H220" si="46">G221+G222+G223+G224+G225</f>
        <v>4537950.6499999994</v>
      </c>
      <c r="H220" s="207">
        <f t="shared" si="46"/>
        <v>4109739.6499999994</v>
      </c>
    </row>
    <row r="221" spans="1:8">
      <c r="A221" s="343">
        <v>165</v>
      </c>
      <c r="B221" s="389" t="s">
        <v>75</v>
      </c>
      <c r="C221" s="343">
        <v>8210000210</v>
      </c>
      <c r="D221" s="30">
        <v>120</v>
      </c>
      <c r="E221" s="31" t="s">
        <v>92</v>
      </c>
      <c r="F221" s="145">
        <f>'приложение 4'!G688</f>
        <v>2593618.0799999996</v>
      </c>
      <c r="G221" s="145">
        <f>'приложение 4'!H688</f>
        <v>2467063.2799999998</v>
      </c>
      <c r="H221" s="155">
        <f>'приложение 4'!I688</f>
        <v>2467063.2799999998</v>
      </c>
    </row>
    <row r="222" spans="1:8">
      <c r="A222" s="343"/>
      <c r="B222" s="389"/>
      <c r="C222" s="343"/>
      <c r="D222" s="30">
        <v>240</v>
      </c>
      <c r="E222" s="31" t="s">
        <v>92</v>
      </c>
      <c r="F222" s="145">
        <f>'приложение 4'!G690</f>
        <v>262142.82</v>
      </c>
      <c r="G222" s="145">
        <f>'приложение 4'!H690</f>
        <v>262142.82</v>
      </c>
      <c r="H222" s="155">
        <f>'приложение 4'!I690</f>
        <v>262142.82</v>
      </c>
    </row>
    <row r="223" spans="1:8">
      <c r="A223" s="343"/>
      <c r="B223" s="389"/>
      <c r="C223" s="343"/>
      <c r="D223" s="30">
        <v>850</v>
      </c>
      <c r="E223" s="31" t="s">
        <v>92</v>
      </c>
      <c r="F223" s="145">
        <f>'приложение 4'!G692</f>
        <v>500</v>
      </c>
      <c r="G223" s="145">
        <f>'приложение 4'!H692</f>
        <v>500</v>
      </c>
      <c r="H223" s="155">
        <f>'приложение 4'!I692</f>
        <v>500</v>
      </c>
    </row>
    <row r="224" spans="1:8">
      <c r="A224" s="151">
        <v>166</v>
      </c>
      <c r="B224" s="152" t="s">
        <v>452</v>
      </c>
      <c r="C224" s="151">
        <f>'приложение 4'!E694</f>
        <v>8210000250</v>
      </c>
      <c r="D224" s="151">
        <v>120</v>
      </c>
      <c r="E224" s="150" t="s">
        <v>92</v>
      </c>
      <c r="F224" s="153">
        <f>'приложение 4'!G695</f>
        <v>1443310.75</v>
      </c>
      <c r="G224" s="153">
        <f>'приложение 4'!H695</f>
        <v>1380033.55</v>
      </c>
      <c r="H224" s="155">
        <f>'приложение 4'!I695</f>
        <v>1380033.55</v>
      </c>
    </row>
    <row r="225" spans="1:8" ht="30">
      <c r="A225" s="206">
        <v>167</v>
      </c>
      <c r="B225" s="212" t="s">
        <v>500</v>
      </c>
      <c r="C225" s="211" t="str">
        <f>'приложение 4'!E698</f>
        <v>8210084600</v>
      </c>
      <c r="D225" s="206">
        <v>240</v>
      </c>
      <c r="E225" s="211" t="s">
        <v>92</v>
      </c>
      <c r="F225" s="209">
        <f>'приложение 4'!G698</f>
        <v>428211</v>
      </c>
      <c r="G225" s="209">
        <f>'приложение 4'!H698</f>
        <v>428211</v>
      </c>
      <c r="H225" s="209">
        <f>'приложение 4'!I698</f>
        <v>0</v>
      </c>
    </row>
    <row r="226" spans="1:8" ht="28.5">
      <c r="A226" s="146">
        <v>168</v>
      </c>
      <c r="B226" s="79" t="s">
        <v>297</v>
      </c>
      <c r="C226" s="59">
        <v>8500000000</v>
      </c>
      <c r="D226" s="30"/>
      <c r="E226" s="31"/>
      <c r="F226" s="52">
        <f t="shared" ref="F226:H226" si="47">F227</f>
        <v>53645102.840000004</v>
      </c>
      <c r="G226" s="52">
        <f t="shared" si="47"/>
        <v>46645264.350000009</v>
      </c>
      <c r="H226" s="52">
        <f t="shared" si="47"/>
        <v>46692964.350000009</v>
      </c>
    </row>
    <row r="227" spans="1:8">
      <c r="A227" s="146">
        <v>169</v>
      </c>
      <c r="B227" s="58" t="s">
        <v>256</v>
      </c>
      <c r="C227" s="59">
        <v>8510000000</v>
      </c>
      <c r="D227" s="59"/>
      <c r="E227" s="47"/>
      <c r="F227" s="42">
        <f>F228+F229+F230+F231+F232+F233+F234+F235+F236+F237+F238+F239+F241+F244+F245+F248+F249+F246+F247+F242+F243</f>
        <v>53645102.840000004</v>
      </c>
      <c r="G227" s="42">
        <f t="shared" ref="G227:H227" si="48">G228+G229+G230+G231+G232+G233+G234+G235+G236+G237+G238+G239+G241+G244+G245+G248+G249+G246+G247+G242+G243</f>
        <v>46645264.350000009</v>
      </c>
      <c r="H227" s="42">
        <f t="shared" si="48"/>
        <v>46692964.350000009</v>
      </c>
    </row>
    <row r="228" spans="1:8" ht="30">
      <c r="A228" s="146">
        <v>170</v>
      </c>
      <c r="B228" s="68" t="s">
        <v>257</v>
      </c>
      <c r="C228" s="30">
        <v>8510000210</v>
      </c>
      <c r="D228" s="30">
        <v>120</v>
      </c>
      <c r="E228" s="31" t="s">
        <v>88</v>
      </c>
      <c r="F228" s="29">
        <f>'приложение 4'!G129</f>
        <v>2527476.98</v>
      </c>
      <c r="G228" s="29">
        <f>'приложение 4'!H129</f>
        <v>2464199.7799999998</v>
      </c>
      <c r="H228" s="29">
        <f>'приложение 4'!I129</f>
        <v>2464199.7799999998</v>
      </c>
    </row>
    <row r="229" spans="1:8" ht="27" customHeight="1">
      <c r="A229" s="357">
        <v>171</v>
      </c>
      <c r="B229" s="344" t="s">
        <v>373</v>
      </c>
      <c r="C229" s="354" t="s">
        <v>260</v>
      </c>
      <c r="D229" s="30">
        <v>120</v>
      </c>
      <c r="E229" s="31" t="s">
        <v>91</v>
      </c>
      <c r="F229" s="29">
        <f>'приложение 4'!G135</f>
        <v>30457710.02</v>
      </c>
      <c r="G229" s="29">
        <f>'приложение 4'!H135</f>
        <v>28622672.620000001</v>
      </c>
      <c r="H229" s="29">
        <f>'приложение 4'!I135</f>
        <v>28622672.620000001</v>
      </c>
    </row>
    <row r="230" spans="1:8" ht="21.75" customHeight="1">
      <c r="A230" s="358"/>
      <c r="B230" s="344"/>
      <c r="C230" s="354"/>
      <c r="D230" s="30">
        <v>240</v>
      </c>
      <c r="E230" s="31" t="s">
        <v>91</v>
      </c>
      <c r="F230" s="29">
        <f>'приложение 4'!G137</f>
        <v>5621000</v>
      </c>
      <c r="G230" s="29">
        <f>'приложение 4'!H137</f>
        <v>6538000</v>
      </c>
      <c r="H230" s="29">
        <f>'приложение 4'!I137</f>
        <v>6538000</v>
      </c>
    </row>
    <row r="231" spans="1:8" ht="28.5" customHeight="1">
      <c r="A231" s="359"/>
      <c r="B231" s="344"/>
      <c r="C231" s="354"/>
      <c r="D231" s="30">
        <v>850</v>
      </c>
      <c r="E231" s="31" t="s">
        <v>91</v>
      </c>
      <c r="F231" s="29">
        <f>'приложение 4'!G139</f>
        <v>1741530</v>
      </c>
      <c r="G231" s="29">
        <f>'приложение 4'!H139</f>
        <v>824530</v>
      </c>
      <c r="H231" s="29">
        <f>'приложение 4'!I139</f>
        <v>824530</v>
      </c>
    </row>
    <row r="232" spans="1:8" ht="62.25" customHeight="1">
      <c r="A232" s="146">
        <v>172</v>
      </c>
      <c r="B232" s="55" t="s">
        <v>375</v>
      </c>
      <c r="C232" s="31" t="str">
        <f>'приложение 4'!E140</f>
        <v>8510000250</v>
      </c>
      <c r="D232" s="30">
        <v>120</v>
      </c>
      <c r="E232" s="31" t="s">
        <v>91</v>
      </c>
      <c r="F232" s="29">
        <f>'приложение 4'!G142</f>
        <v>5005702.3500000006</v>
      </c>
      <c r="G232" s="29">
        <f>'приложение 4'!H142</f>
        <v>4562761.95</v>
      </c>
      <c r="H232" s="29">
        <f>'приложение 4'!I142</f>
        <v>4562761.95</v>
      </c>
    </row>
    <row r="233" spans="1:8" ht="60">
      <c r="A233" s="146">
        <v>173</v>
      </c>
      <c r="B233" s="96" t="s">
        <v>398</v>
      </c>
      <c r="C233" s="30">
        <v>8510051200</v>
      </c>
      <c r="D233" s="30">
        <v>240</v>
      </c>
      <c r="E233" s="31" t="s">
        <v>160</v>
      </c>
      <c r="F233" s="29">
        <f>'приложение 4'!G148</f>
        <v>6000</v>
      </c>
      <c r="G233" s="29">
        <f>'приложение 4'!H148</f>
        <v>6200</v>
      </c>
      <c r="H233" s="29">
        <f>'приложение 4'!I148</f>
        <v>53900</v>
      </c>
    </row>
    <row r="234" spans="1:8">
      <c r="A234" s="146">
        <v>174</v>
      </c>
      <c r="B234" s="33" t="s">
        <v>34</v>
      </c>
      <c r="C234" s="30">
        <v>8510010110</v>
      </c>
      <c r="D234" s="30">
        <v>870</v>
      </c>
      <c r="E234" s="31" t="s">
        <v>93</v>
      </c>
      <c r="F234" s="29">
        <f>'приложение 4'!G154</f>
        <v>4380000</v>
      </c>
      <c r="G234" s="29">
        <f>'приложение 4'!H154</f>
        <v>150000</v>
      </c>
      <c r="H234" s="29">
        <f>'приложение 4'!I154</f>
        <v>150000</v>
      </c>
    </row>
    <row r="235" spans="1:8" ht="23.25" customHeight="1">
      <c r="A235" s="343">
        <v>175</v>
      </c>
      <c r="B235" s="387" t="s">
        <v>36</v>
      </c>
      <c r="C235" s="343">
        <v>8510074290</v>
      </c>
      <c r="D235" s="30">
        <v>120</v>
      </c>
      <c r="E235" s="31" t="s">
        <v>94</v>
      </c>
      <c r="F235" s="29">
        <f>'приложение 4'!G160</f>
        <v>62600</v>
      </c>
      <c r="G235" s="29">
        <f>'приложение 4'!H160</f>
        <v>57500</v>
      </c>
      <c r="H235" s="29">
        <f>'приложение 4'!I160</f>
        <v>57500</v>
      </c>
    </row>
    <row r="236" spans="1:8" ht="40.5" customHeight="1">
      <c r="A236" s="343"/>
      <c r="B236" s="387"/>
      <c r="C236" s="343"/>
      <c r="D236" s="30">
        <v>240</v>
      </c>
      <c r="E236" s="31" t="s">
        <v>94</v>
      </c>
      <c r="F236" s="29">
        <f>'приложение 4'!G162</f>
        <v>2300</v>
      </c>
      <c r="G236" s="29">
        <f>'приложение 4'!H162</f>
        <v>2300</v>
      </c>
      <c r="H236" s="29">
        <f>'приложение 4'!I162</f>
        <v>2300</v>
      </c>
    </row>
    <row r="237" spans="1:8" ht="24.75" customHeight="1">
      <c r="A237" s="343">
        <v>176</v>
      </c>
      <c r="B237" s="344" t="s">
        <v>30</v>
      </c>
      <c r="C237" s="343">
        <v>8510076040</v>
      </c>
      <c r="D237" s="30">
        <v>120</v>
      </c>
      <c r="E237" s="31" t="s">
        <v>94</v>
      </c>
      <c r="F237" s="29">
        <f>'приложение 4'!G165</f>
        <v>1042738.06</v>
      </c>
      <c r="G237" s="29">
        <f>'приложение 4'!H165</f>
        <v>958338.06</v>
      </c>
      <c r="H237" s="29">
        <f>'приложение 4'!I165</f>
        <v>958338.06</v>
      </c>
    </row>
    <row r="238" spans="1:8" ht="36.75" customHeight="1">
      <c r="A238" s="343"/>
      <c r="B238" s="344"/>
      <c r="C238" s="343"/>
      <c r="D238" s="30">
        <v>240</v>
      </c>
      <c r="E238" s="31" t="s">
        <v>94</v>
      </c>
      <c r="F238" s="29">
        <f>'приложение 4'!G167</f>
        <v>68761.94</v>
      </c>
      <c r="G238" s="29">
        <f>'приложение 4'!H167</f>
        <v>68761.94</v>
      </c>
      <c r="H238" s="29">
        <f>'приложение 4'!I167</f>
        <v>68761.94</v>
      </c>
    </row>
    <row r="239" spans="1:8" ht="26.25" customHeight="1">
      <c r="A239" s="357">
        <v>177</v>
      </c>
      <c r="B239" s="369" t="s">
        <v>37</v>
      </c>
      <c r="C239" s="357">
        <v>8510092020</v>
      </c>
      <c r="D239" s="357">
        <v>830</v>
      </c>
      <c r="E239" s="361" t="s">
        <v>94</v>
      </c>
      <c r="F239" s="339">
        <f>'приложение 4'!G170</f>
        <v>500000</v>
      </c>
      <c r="G239" s="339">
        <f>'приложение 4'!H170</f>
        <v>500000</v>
      </c>
      <c r="H239" s="339">
        <f>'приложение 4'!I170</f>
        <v>500000</v>
      </c>
    </row>
    <row r="240" spans="1:8" ht="42.75" customHeight="1">
      <c r="A240" s="359"/>
      <c r="B240" s="370"/>
      <c r="C240" s="359"/>
      <c r="D240" s="359"/>
      <c r="E240" s="363"/>
      <c r="F240" s="340"/>
      <c r="G240" s="340"/>
      <c r="H240" s="340"/>
    </row>
    <row r="241" spans="1:8" ht="42" customHeight="1">
      <c r="A241" s="146">
        <v>178</v>
      </c>
      <c r="B241" s="87" t="s">
        <v>244</v>
      </c>
      <c r="C241" s="30" t="s">
        <v>263</v>
      </c>
      <c r="D241" s="30">
        <v>240</v>
      </c>
      <c r="E241" s="31" t="s">
        <v>94</v>
      </c>
      <c r="F241" s="29">
        <f>'приложение 4'!G173</f>
        <v>197662.97</v>
      </c>
      <c r="G241" s="29">
        <f>'приложение 4'!H173</f>
        <v>0</v>
      </c>
      <c r="H241" s="29">
        <f>'приложение 4'!I173</f>
        <v>0</v>
      </c>
    </row>
    <row r="242" spans="1:8" ht="42" customHeight="1">
      <c r="A242" s="357">
        <v>179</v>
      </c>
      <c r="B242" s="371" t="str">
        <f>'приложение 4'!B215</f>
        <v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v>
      </c>
      <c r="C242" s="361" t="str">
        <f>'приложение 4'!E219</f>
        <v>8510076850</v>
      </c>
      <c r="D242" s="226">
        <v>120</v>
      </c>
      <c r="E242" s="228" t="s">
        <v>103</v>
      </c>
      <c r="F242" s="29">
        <f>'приложение 4'!G217</f>
        <v>219161.62</v>
      </c>
      <c r="G242" s="29">
        <f>'приложение 4'!H217</f>
        <v>202261.62</v>
      </c>
      <c r="H242" s="29">
        <f>'приложение 4'!I217</f>
        <v>202261.62</v>
      </c>
    </row>
    <row r="243" spans="1:8" ht="42" customHeight="1">
      <c r="A243" s="359"/>
      <c r="B243" s="372"/>
      <c r="C243" s="359"/>
      <c r="D243" s="226">
        <v>240</v>
      </c>
      <c r="E243" s="228" t="s">
        <v>103</v>
      </c>
      <c r="F243" s="29">
        <f>'приложение 4'!G219</f>
        <v>27738.38</v>
      </c>
      <c r="G243" s="29">
        <f>'приложение 4'!H219</f>
        <v>27738.38</v>
      </c>
      <c r="H243" s="29">
        <f>'приложение 4'!I219</f>
        <v>27738.38</v>
      </c>
    </row>
    <row r="244" spans="1:8">
      <c r="A244" s="343">
        <v>180</v>
      </c>
      <c r="B244" s="344" t="s">
        <v>385</v>
      </c>
      <c r="C244" s="355">
        <f>'приложение 4'!E336</f>
        <v>8510002890</v>
      </c>
      <c r="D244" s="30">
        <v>120</v>
      </c>
      <c r="E244" s="354" t="s">
        <v>128</v>
      </c>
      <c r="F244" s="29">
        <f>'приложение 4'!G337</f>
        <v>1042738.06</v>
      </c>
      <c r="G244" s="29">
        <f>'приложение 4'!H337</f>
        <v>958338.06</v>
      </c>
      <c r="H244" s="29">
        <f>'приложение 4'!I337</f>
        <v>958338.06</v>
      </c>
    </row>
    <row r="245" spans="1:8" ht="36" customHeight="1">
      <c r="A245" s="343"/>
      <c r="B245" s="344"/>
      <c r="C245" s="355"/>
      <c r="D245" s="30">
        <v>240</v>
      </c>
      <c r="E245" s="354"/>
      <c r="F245" s="29">
        <f>'приложение 4'!G339</f>
        <v>148461.94</v>
      </c>
      <c r="G245" s="29">
        <f>'приложение 4'!H339</f>
        <v>148461.94</v>
      </c>
      <c r="H245" s="29">
        <f>'приложение 4'!I339</f>
        <v>148461.94</v>
      </c>
    </row>
    <row r="246" spans="1:8">
      <c r="A246" s="357">
        <v>181</v>
      </c>
      <c r="B246" s="381" t="s">
        <v>455</v>
      </c>
      <c r="C246" s="383">
        <f>'приложение 4'!E340</f>
        <v>8510078460</v>
      </c>
      <c r="D246" s="163">
        <v>120</v>
      </c>
      <c r="E246" s="361" t="s">
        <v>128</v>
      </c>
      <c r="F246" s="29">
        <f>'приложение 4'!G342</f>
        <v>56351</v>
      </c>
      <c r="G246" s="29">
        <f>'приложение 4'!H342</f>
        <v>51751</v>
      </c>
      <c r="H246" s="29">
        <f>'приложение 4'!I342</f>
        <v>51751</v>
      </c>
    </row>
    <row r="247" spans="1:8">
      <c r="A247" s="359"/>
      <c r="B247" s="382"/>
      <c r="C247" s="384"/>
      <c r="D247" s="163">
        <v>240</v>
      </c>
      <c r="E247" s="363"/>
      <c r="F247" s="29">
        <f>'приложение 4'!G344</f>
        <v>1449</v>
      </c>
      <c r="G247" s="29">
        <f>'приложение 4'!H344</f>
        <v>1449</v>
      </c>
      <c r="H247" s="29">
        <f>'приложение 4'!I344</f>
        <v>1449</v>
      </c>
    </row>
    <row r="248" spans="1:8" ht="34.5" customHeight="1">
      <c r="A248" s="146">
        <v>182</v>
      </c>
      <c r="B248" s="85" t="s">
        <v>404</v>
      </c>
      <c r="C248" s="69">
        <f>'приложение 4'!E176</f>
        <v>8510084570</v>
      </c>
      <c r="D248" s="30">
        <v>240</v>
      </c>
      <c r="E248" s="31" t="s">
        <v>94</v>
      </c>
      <c r="F248" s="29">
        <f>'приложение 4'!G176</f>
        <v>35720.519999999997</v>
      </c>
      <c r="G248" s="29">
        <f>'приложение 4'!H176</f>
        <v>0</v>
      </c>
      <c r="H248" s="29">
        <f>'приложение 4'!I176</f>
        <v>0</v>
      </c>
    </row>
    <row r="249" spans="1:8" ht="48" customHeight="1">
      <c r="A249" s="146">
        <v>183</v>
      </c>
      <c r="B249" s="128" t="s">
        <v>423</v>
      </c>
      <c r="C249" s="127">
        <f>'приложение 4'!E179</f>
        <v>8510084580</v>
      </c>
      <c r="D249" s="125">
        <v>240</v>
      </c>
      <c r="E249" s="123" t="s">
        <v>94</v>
      </c>
      <c r="F249" s="29">
        <f>'приложение 4'!G179</f>
        <v>500000</v>
      </c>
      <c r="G249" s="29">
        <f>'приложение 4'!H179</f>
        <v>500000</v>
      </c>
      <c r="H249" s="29">
        <f>'приложение 4'!I179</f>
        <v>500000</v>
      </c>
    </row>
    <row r="250" spans="1:8">
      <c r="A250" s="146">
        <v>184</v>
      </c>
      <c r="B250" s="84" t="s">
        <v>298</v>
      </c>
      <c r="C250" s="59">
        <v>9100000000</v>
      </c>
      <c r="D250" s="30"/>
      <c r="E250" s="31"/>
      <c r="F250" s="52">
        <f>F251+F254+F258</f>
        <v>89819984.689999998</v>
      </c>
      <c r="G250" s="52">
        <f t="shared" ref="G250:H250" si="49">G251+G254+G258</f>
        <v>82031330.689999998</v>
      </c>
      <c r="H250" s="52">
        <f t="shared" si="49"/>
        <v>82017614.689999998</v>
      </c>
    </row>
    <row r="251" spans="1:8" ht="26.25" customHeight="1">
      <c r="A251" s="248">
        <v>185</v>
      </c>
      <c r="B251" s="255" t="s">
        <v>555</v>
      </c>
      <c r="C251" s="250">
        <v>9140000000</v>
      </c>
      <c r="D251" s="248"/>
      <c r="E251" s="252"/>
      <c r="F251" s="52">
        <f>F252+F253</f>
        <v>161100</v>
      </c>
      <c r="G251" s="52">
        <f t="shared" ref="G251:H251" si="50">G252</f>
        <v>0</v>
      </c>
      <c r="H251" s="52">
        <f t="shared" si="50"/>
        <v>0</v>
      </c>
    </row>
    <row r="252" spans="1:8" ht="51.75" customHeight="1">
      <c r="A252" s="357">
        <v>186</v>
      </c>
      <c r="B252" s="369" t="s">
        <v>557</v>
      </c>
      <c r="C252" s="357" t="s">
        <v>558</v>
      </c>
      <c r="D252" s="357">
        <v>610</v>
      </c>
      <c r="E252" s="252" t="s">
        <v>116</v>
      </c>
      <c r="F252" s="29">
        <f>'приложение 4'!G462</f>
        <v>67125</v>
      </c>
      <c r="G252" s="29">
        <f>'приложение 4'!H462</f>
        <v>0</v>
      </c>
      <c r="H252" s="29">
        <f>'приложение 4'!I462</f>
        <v>0</v>
      </c>
    </row>
    <row r="253" spans="1:8" ht="39" customHeight="1">
      <c r="A253" s="359"/>
      <c r="B253" s="370"/>
      <c r="C253" s="359"/>
      <c r="D253" s="359"/>
      <c r="E253" s="252" t="s">
        <v>117</v>
      </c>
      <c r="F253" s="29">
        <f>'приложение 4'!G518</f>
        <v>93975</v>
      </c>
      <c r="G253" s="29"/>
      <c r="H253" s="29"/>
    </row>
    <row r="254" spans="1:8" ht="30">
      <c r="A254" s="146">
        <v>187</v>
      </c>
      <c r="B254" s="93" t="s">
        <v>282</v>
      </c>
      <c r="C254" s="59">
        <v>9150000000</v>
      </c>
      <c r="D254" s="59"/>
      <c r="E254" s="47"/>
      <c r="F254" s="42">
        <f t="shared" ref="F254:G254" si="51">F255+F256+F257</f>
        <v>10872464.73</v>
      </c>
      <c r="G254" s="42">
        <f t="shared" si="51"/>
        <v>10113138.73</v>
      </c>
      <c r="H254" s="42">
        <f t="shared" ref="H254" si="52">H255+H256+H257</f>
        <v>10113138.73</v>
      </c>
    </row>
    <row r="255" spans="1:8">
      <c r="A255" s="343">
        <v>188</v>
      </c>
      <c r="B255" s="344" t="s">
        <v>299</v>
      </c>
      <c r="C255" s="343">
        <v>9150000620</v>
      </c>
      <c r="D255" s="30">
        <v>110</v>
      </c>
      <c r="E255" s="31" t="s">
        <v>94</v>
      </c>
      <c r="F255" s="29">
        <f>'приложение 4'!G418</f>
        <v>10475864.73</v>
      </c>
      <c r="G255" s="29">
        <f>'приложение 4'!H418</f>
        <v>9766538.7300000004</v>
      </c>
      <c r="H255" s="29">
        <f>'приложение 4'!I418</f>
        <v>9766538.7300000004</v>
      </c>
    </row>
    <row r="256" spans="1:8">
      <c r="A256" s="343"/>
      <c r="B256" s="344"/>
      <c r="C256" s="343"/>
      <c r="D256" s="30">
        <v>240</v>
      </c>
      <c r="E256" s="31" t="s">
        <v>94</v>
      </c>
      <c r="F256" s="29">
        <f>'приложение 4'!G420</f>
        <v>395600</v>
      </c>
      <c r="G256" s="29">
        <f>'приложение 4'!H420</f>
        <v>345600</v>
      </c>
      <c r="H256" s="29">
        <f>'приложение 4'!I420</f>
        <v>345600</v>
      </c>
    </row>
    <row r="257" spans="1:8">
      <c r="A257" s="343"/>
      <c r="B257" s="344"/>
      <c r="C257" s="343"/>
      <c r="D257" s="30">
        <v>850</v>
      </c>
      <c r="E257" s="31" t="s">
        <v>94</v>
      </c>
      <c r="F257" s="29">
        <f>'приложение 4'!G422</f>
        <v>1000</v>
      </c>
      <c r="G257" s="29">
        <f>'приложение 4'!H422</f>
        <v>1000</v>
      </c>
      <c r="H257" s="29">
        <f>'приложение 4'!I422</f>
        <v>1000</v>
      </c>
    </row>
    <row r="258" spans="1:8" ht="30">
      <c r="A258" s="146">
        <v>189</v>
      </c>
      <c r="B258" s="93" t="s">
        <v>274</v>
      </c>
      <c r="C258" s="59">
        <v>9170000000</v>
      </c>
      <c r="D258" s="59"/>
      <c r="E258" s="47"/>
      <c r="F258" s="42">
        <f>F259+F260+F261+F262+F263</f>
        <v>78786419.959999993</v>
      </c>
      <c r="G258" s="42">
        <f>G259+G260+G261+G262+G263</f>
        <v>71918191.959999993</v>
      </c>
      <c r="H258" s="42">
        <f>H259+H260+H261+H262+H263</f>
        <v>71904475.959999993</v>
      </c>
    </row>
    <row r="259" spans="1:8">
      <c r="A259" s="343">
        <v>190</v>
      </c>
      <c r="B259" s="344" t="s">
        <v>299</v>
      </c>
      <c r="C259" s="354" t="s">
        <v>276</v>
      </c>
      <c r="D259" s="30">
        <v>110</v>
      </c>
      <c r="E259" s="31" t="s">
        <v>94</v>
      </c>
      <c r="F259" s="29">
        <f>'приложение 4'!G401</f>
        <v>74713563.459999993</v>
      </c>
      <c r="G259" s="29">
        <f>'приложение 4'!H401</f>
        <v>68817065.459999993</v>
      </c>
      <c r="H259" s="29">
        <f>'приложение 4'!I401</f>
        <v>69143454.959999993</v>
      </c>
    </row>
    <row r="260" spans="1:8">
      <c r="A260" s="343"/>
      <c r="B260" s="344"/>
      <c r="C260" s="354"/>
      <c r="D260" s="30">
        <v>240</v>
      </c>
      <c r="E260" s="31" t="s">
        <v>94</v>
      </c>
      <c r="F260" s="29">
        <f>'приложение 4'!G403</f>
        <v>2732418</v>
      </c>
      <c r="G260" s="29">
        <f>'приложение 4'!H403</f>
        <v>2732418</v>
      </c>
      <c r="H260" s="29">
        <f>'приложение 4'!I403</f>
        <v>2732418</v>
      </c>
    </row>
    <row r="261" spans="1:8">
      <c r="A261" s="343"/>
      <c r="B261" s="344"/>
      <c r="C261" s="354"/>
      <c r="D261" s="30">
        <v>850</v>
      </c>
      <c r="E261" s="31" t="s">
        <v>94</v>
      </c>
      <c r="F261" s="29">
        <f>'приложение 4'!G405</f>
        <v>28603</v>
      </c>
      <c r="G261" s="29">
        <f>'приложение 4'!H405</f>
        <v>28603</v>
      </c>
      <c r="H261" s="29">
        <f>'приложение 4'!I405</f>
        <v>28603</v>
      </c>
    </row>
    <row r="262" spans="1:8" ht="24" customHeight="1">
      <c r="A262" s="343">
        <v>191</v>
      </c>
      <c r="B262" s="390" t="s">
        <v>325</v>
      </c>
      <c r="C262" s="354" t="str">
        <f>'приложение 4'!E407</f>
        <v>9170084560</v>
      </c>
      <c r="D262" s="30">
        <v>110</v>
      </c>
      <c r="E262" s="31" t="s">
        <v>94</v>
      </c>
      <c r="F262" s="29">
        <f>'приложение 4'!G408</f>
        <v>1263829.5</v>
      </c>
      <c r="G262" s="29">
        <f>'приложение 4'!H408</f>
        <v>326389.5</v>
      </c>
      <c r="H262" s="29">
        <f>'приложение 4'!I408</f>
        <v>0</v>
      </c>
    </row>
    <row r="263" spans="1:8" ht="29.25" customHeight="1">
      <c r="A263" s="343"/>
      <c r="B263" s="390"/>
      <c r="C263" s="354"/>
      <c r="D263" s="30">
        <v>240</v>
      </c>
      <c r="E263" s="31" t="s">
        <v>94</v>
      </c>
      <c r="F263" s="29">
        <f>'приложение 4'!G410</f>
        <v>48006</v>
      </c>
      <c r="G263" s="29">
        <f>'приложение 4'!H410</f>
        <v>13716</v>
      </c>
      <c r="H263" s="29">
        <f>'приложение 4'!I410</f>
        <v>0</v>
      </c>
    </row>
    <row r="264" spans="1:8" ht="28.5">
      <c r="A264" s="146">
        <v>192</v>
      </c>
      <c r="B264" s="79" t="s">
        <v>227</v>
      </c>
      <c r="C264" s="59">
        <v>9200000000</v>
      </c>
      <c r="D264" s="30"/>
      <c r="E264" s="31"/>
      <c r="F264" s="52">
        <f t="shared" ref="F264:H264" si="53">F265</f>
        <v>3260600</v>
      </c>
      <c r="G264" s="52">
        <f t="shared" si="53"/>
        <v>3587200</v>
      </c>
      <c r="H264" s="52">
        <f t="shared" si="53"/>
        <v>3931300</v>
      </c>
    </row>
    <row r="265" spans="1:8" ht="30">
      <c r="A265" s="146">
        <v>193</v>
      </c>
      <c r="B265" s="93" t="s">
        <v>261</v>
      </c>
      <c r="C265" s="59">
        <v>9210000000</v>
      </c>
      <c r="D265" s="59"/>
      <c r="E265" s="47"/>
      <c r="F265" s="42">
        <f>F266+F267+F268</f>
        <v>3260600</v>
      </c>
      <c r="G265" s="42">
        <f t="shared" ref="G265:H265" si="54">G266+G267+G268</f>
        <v>3587200</v>
      </c>
      <c r="H265" s="42">
        <f t="shared" si="54"/>
        <v>3931300</v>
      </c>
    </row>
    <row r="266" spans="1:8" ht="60">
      <c r="A266" s="146">
        <v>194</v>
      </c>
      <c r="B266" s="68" t="s">
        <v>397</v>
      </c>
      <c r="C266" s="30">
        <v>9210075140</v>
      </c>
      <c r="D266" s="30">
        <v>530</v>
      </c>
      <c r="E266" s="31" t="s">
        <v>94</v>
      </c>
      <c r="F266" s="29">
        <f>'приложение 4'!G38</f>
        <v>104800</v>
      </c>
      <c r="G266" s="29">
        <f>'приложение 4'!H38</f>
        <v>93000</v>
      </c>
      <c r="H266" s="29">
        <f>'приложение 4'!I38</f>
        <v>93000</v>
      </c>
    </row>
    <row r="267" spans="1:8" ht="45">
      <c r="A267" s="146">
        <v>195</v>
      </c>
      <c r="B267" s="56" t="s">
        <v>369</v>
      </c>
      <c r="C267" s="30">
        <v>9210051180</v>
      </c>
      <c r="D267" s="30">
        <v>530</v>
      </c>
      <c r="E267" s="31" t="s">
        <v>97</v>
      </c>
      <c r="F267" s="29">
        <f>'приложение 4'!G45</f>
        <v>2955800</v>
      </c>
      <c r="G267" s="29">
        <f>'приложение 4'!H45</f>
        <v>3294200</v>
      </c>
      <c r="H267" s="29">
        <f>'приложение 4'!I45</f>
        <v>3638300</v>
      </c>
    </row>
    <row r="268" spans="1:8">
      <c r="A268" s="146">
        <v>196</v>
      </c>
      <c r="B268" s="91" t="s">
        <v>408</v>
      </c>
      <c r="C268" s="88">
        <f>'приложение 4'!E99</f>
        <v>9210000910</v>
      </c>
      <c r="D268" s="86">
        <v>730</v>
      </c>
      <c r="E268" s="89" t="s">
        <v>407</v>
      </c>
      <c r="F268" s="29">
        <f>'приложение 4'!G99</f>
        <v>200000</v>
      </c>
      <c r="G268" s="29">
        <f>'приложение 4'!H99</f>
        <v>200000</v>
      </c>
      <c r="H268" s="29">
        <f>'приложение 4'!I99</f>
        <v>200000</v>
      </c>
    </row>
    <row r="269" spans="1:8">
      <c r="A269" s="146">
        <v>197</v>
      </c>
      <c r="B269" s="55" t="s">
        <v>132</v>
      </c>
      <c r="C269" s="30"/>
      <c r="D269" s="30"/>
      <c r="E269" s="31"/>
      <c r="F269" s="29">
        <f>'приложение 4'!G720</f>
        <v>0</v>
      </c>
      <c r="G269" s="29">
        <f>'приложение 4'!H720</f>
        <v>22582387</v>
      </c>
      <c r="H269" s="29">
        <f>'приложение 4'!I720</f>
        <v>43748000</v>
      </c>
    </row>
    <row r="270" spans="1:8">
      <c r="A270" s="146">
        <v>198</v>
      </c>
      <c r="B270" s="77" t="s">
        <v>150</v>
      </c>
      <c r="C270" s="49"/>
      <c r="D270" s="49"/>
      <c r="E270" s="50"/>
      <c r="F270" s="52">
        <f>F21+F49+F102+F112+F123+F142+F150+F163+F171+F184+F15+F211+F219+F226+F250+F264+F269+F202</f>
        <v>1459016341.7000003</v>
      </c>
      <c r="G270" s="52">
        <f>G21+G49+G102+G112+G123+G142+G150+G163+G171+G184+G15+G211+G219+G226+G250+G264+G269+G202</f>
        <v>1344990765.6300001</v>
      </c>
      <c r="H270" s="52">
        <f>H21+H49+H102+H112+H123+H142+H150+H163+H171+H184+H15+H211+H219+H226+H250+H264+H269+H202</f>
        <v>1342549495.7600002</v>
      </c>
    </row>
    <row r="271" spans="1:8">
      <c r="A271" s="80"/>
      <c r="B271" s="81"/>
      <c r="C271" s="82"/>
      <c r="D271" s="82"/>
      <c r="E271" s="82"/>
      <c r="F271" s="82"/>
      <c r="G271" s="82"/>
    </row>
    <row r="272" spans="1:8">
      <c r="A272" s="80"/>
      <c r="B272" s="43"/>
      <c r="C272" s="39"/>
      <c r="D272" s="39"/>
      <c r="E272" s="39"/>
      <c r="F272" s="269">
        <f>'приложение 4'!G721-'приложение 5'!F270</f>
        <v>0</v>
      </c>
      <c r="G272" s="269">
        <f>'приложение 4'!H721-'приложение 5'!G270</f>
        <v>0</v>
      </c>
      <c r="H272" s="269">
        <f>'приложение 4'!I721-'приложение 5'!H270</f>
        <v>0</v>
      </c>
    </row>
    <row r="273" spans="1:7">
      <c r="A273" s="80"/>
      <c r="B273" s="43"/>
      <c r="C273" s="39"/>
      <c r="D273" s="39"/>
      <c r="E273" s="39"/>
      <c r="F273" s="39"/>
      <c r="G273" s="39"/>
    </row>
    <row r="274" spans="1:7">
      <c r="A274" s="80"/>
      <c r="B274" s="43"/>
      <c r="C274" s="39"/>
      <c r="D274" s="39"/>
      <c r="E274" s="39"/>
      <c r="F274" s="39"/>
      <c r="G274" s="39"/>
    </row>
    <row r="275" spans="1:7">
      <c r="A275" s="80"/>
      <c r="B275" s="43"/>
      <c r="C275" s="39"/>
      <c r="D275" s="39"/>
      <c r="E275" s="39"/>
      <c r="F275" s="39"/>
      <c r="G275" s="39"/>
    </row>
    <row r="276" spans="1:7">
      <c r="A276" s="80"/>
      <c r="B276" s="43"/>
      <c r="C276" s="39"/>
      <c r="D276" s="39"/>
      <c r="E276" s="39"/>
      <c r="F276" s="39"/>
      <c r="G276" s="39"/>
    </row>
    <row r="277" spans="1:7">
      <c r="A277" s="80"/>
      <c r="B277" s="43"/>
      <c r="C277" s="39"/>
      <c r="D277" s="39"/>
      <c r="E277" s="39"/>
      <c r="F277" s="39"/>
      <c r="G277" s="39"/>
    </row>
    <row r="278" spans="1:7">
      <c r="A278" s="80"/>
      <c r="B278" s="43"/>
      <c r="C278" s="39"/>
      <c r="D278" s="39"/>
      <c r="E278" s="39"/>
      <c r="F278" s="39"/>
      <c r="G278" s="39"/>
    </row>
    <row r="279" spans="1:7">
      <c r="A279" s="80"/>
      <c r="B279" s="43"/>
      <c r="C279" s="39"/>
      <c r="D279" s="39"/>
      <c r="E279" s="39"/>
      <c r="F279" s="39"/>
      <c r="G279" s="39"/>
    </row>
    <row r="280" spans="1:7">
      <c r="A280" s="80"/>
      <c r="B280" s="43"/>
      <c r="C280" s="39"/>
      <c r="D280" s="39"/>
      <c r="E280" s="39"/>
      <c r="F280" s="39"/>
      <c r="G280" s="39"/>
    </row>
    <row r="281" spans="1:7">
      <c r="A281" s="80"/>
      <c r="B281" s="43"/>
      <c r="C281" s="39"/>
      <c r="D281" s="39"/>
      <c r="E281" s="39"/>
      <c r="F281" s="39"/>
      <c r="G281" s="39"/>
    </row>
    <row r="282" spans="1:7">
      <c r="A282" s="80"/>
      <c r="B282" s="43"/>
      <c r="C282" s="39"/>
      <c r="D282" s="39"/>
      <c r="E282" s="39"/>
      <c r="F282" s="39"/>
      <c r="G282" s="39"/>
    </row>
    <row r="283" spans="1:7">
      <c r="A283" s="80"/>
      <c r="B283" s="43"/>
      <c r="C283" s="39"/>
      <c r="D283" s="39"/>
      <c r="E283" s="39"/>
      <c r="F283" s="39"/>
      <c r="G283" s="39"/>
    </row>
    <row r="284" spans="1:7">
      <c r="A284" s="80"/>
      <c r="B284" s="43"/>
      <c r="C284" s="39"/>
      <c r="D284" s="39"/>
      <c r="E284" s="39"/>
      <c r="F284" s="39"/>
      <c r="G284" s="39"/>
    </row>
    <row r="285" spans="1:7">
      <c r="A285" s="80"/>
      <c r="B285" s="43"/>
      <c r="C285" s="39"/>
      <c r="D285" s="39"/>
      <c r="E285" s="39"/>
      <c r="F285" s="39"/>
      <c r="G285" s="39"/>
    </row>
    <row r="286" spans="1:7">
      <c r="A286" s="80"/>
      <c r="B286" s="43"/>
      <c r="C286" s="39"/>
      <c r="D286" s="39"/>
      <c r="E286" s="39"/>
      <c r="F286" s="39"/>
      <c r="G286" s="39"/>
    </row>
    <row r="287" spans="1:7">
      <c r="A287" s="80"/>
      <c r="B287" s="43"/>
      <c r="C287" s="39"/>
      <c r="D287" s="39"/>
      <c r="E287" s="39"/>
      <c r="F287" s="39"/>
      <c r="G287" s="39"/>
    </row>
    <row r="288" spans="1:7">
      <c r="A288" s="80"/>
      <c r="B288" s="43"/>
      <c r="C288" s="39"/>
      <c r="D288" s="39"/>
      <c r="E288" s="39"/>
      <c r="F288" s="39"/>
      <c r="G288" s="39"/>
    </row>
    <row r="289" spans="1:7">
      <c r="A289" s="80"/>
      <c r="B289" s="43"/>
      <c r="C289" s="39"/>
      <c r="D289" s="39"/>
      <c r="E289" s="39"/>
      <c r="F289" s="39"/>
      <c r="G289" s="39"/>
    </row>
    <row r="290" spans="1:7">
      <c r="A290" s="80"/>
      <c r="B290" s="43"/>
      <c r="C290" s="39"/>
      <c r="D290" s="39"/>
      <c r="E290" s="39"/>
      <c r="F290" s="39"/>
      <c r="G290" s="39"/>
    </row>
    <row r="291" spans="1:7">
      <c r="A291" s="80"/>
      <c r="B291" s="43"/>
      <c r="C291" s="39"/>
      <c r="D291" s="39"/>
      <c r="E291" s="39"/>
      <c r="F291" s="39"/>
      <c r="G291" s="39"/>
    </row>
    <row r="292" spans="1:7">
      <c r="A292" s="80"/>
      <c r="B292" s="43"/>
      <c r="C292" s="39"/>
      <c r="D292" s="39"/>
      <c r="E292" s="39"/>
      <c r="F292" s="39"/>
      <c r="G292" s="39"/>
    </row>
    <row r="293" spans="1:7">
      <c r="A293" s="80"/>
      <c r="B293" s="43"/>
      <c r="C293" s="39"/>
      <c r="D293" s="39"/>
      <c r="E293" s="39"/>
      <c r="F293" s="39"/>
      <c r="G293" s="39"/>
    </row>
    <row r="294" spans="1:7">
      <c r="A294" s="80"/>
      <c r="B294" s="43"/>
      <c r="C294" s="39"/>
      <c r="D294" s="39"/>
      <c r="E294" s="39"/>
      <c r="F294" s="39"/>
      <c r="G294" s="39"/>
    </row>
    <row r="295" spans="1:7">
      <c r="A295" s="80"/>
      <c r="B295" s="43"/>
      <c r="C295" s="39"/>
      <c r="D295" s="39"/>
      <c r="E295" s="39"/>
      <c r="F295" s="39"/>
      <c r="G295" s="39"/>
    </row>
    <row r="296" spans="1:7">
      <c r="A296" s="80"/>
      <c r="B296" s="43"/>
      <c r="C296" s="39"/>
      <c r="D296" s="39"/>
      <c r="E296" s="39"/>
      <c r="F296" s="39"/>
      <c r="G296" s="39"/>
    </row>
    <row r="297" spans="1:7">
      <c r="A297" s="80"/>
      <c r="B297" s="43"/>
      <c r="C297" s="39"/>
      <c r="D297" s="39"/>
      <c r="E297" s="39"/>
      <c r="F297" s="39"/>
      <c r="G297" s="39"/>
    </row>
    <row r="298" spans="1:7">
      <c r="A298" s="80"/>
      <c r="B298" s="43"/>
      <c r="C298" s="39"/>
      <c r="D298" s="39"/>
      <c r="E298" s="39"/>
      <c r="F298" s="39"/>
      <c r="G298" s="39"/>
    </row>
    <row r="299" spans="1:7">
      <c r="A299" s="80"/>
      <c r="B299" s="43"/>
      <c r="C299" s="39"/>
      <c r="D299" s="39"/>
      <c r="E299" s="39"/>
      <c r="F299" s="39"/>
      <c r="G299" s="39"/>
    </row>
    <row r="300" spans="1:7">
      <c r="A300" s="80"/>
      <c r="B300" s="43"/>
      <c r="C300" s="39"/>
      <c r="D300" s="39"/>
      <c r="E300" s="39"/>
      <c r="F300" s="39"/>
      <c r="G300" s="39"/>
    </row>
    <row r="301" spans="1:7">
      <c r="A301" s="80"/>
      <c r="B301" s="43"/>
      <c r="C301" s="39"/>
      <c r="D301" s="39"/>
      <c r="E301" s="39"/>
      <c r="F301" s="39"/>
      <c r="G301" s="39"/>
    </row>
    <row r="302" spans="1:7">
      <c r="A302" s="80"/>
      <c r="B302" s="43"/>
      <c r="C302" s="39"/>
      <c r="D302" s="39"/>
      <c r="E302" s="39"/>
      <c r="F302" s="39"/>
      <c r="G302" s="39"/>
    </row>
    <row r="303" spans="1:7">
      <c r="A303" s="80"/>
      <c r="B303" s="43"/>
      <c r="C303" s="39"/>
      <c r="D303" s="39"/>
      <c r="E303" s="39"/>
      <c r="F303" s="39"/>
      <c r="G303" s="39"/>
    </row>
    <row r="304" spans="1:7">
      <c r="A304" s="80"/>
      <c r="B304" s="43"/>
      <c r="C304" s="39"/>
      <c r="D304" s="39"/>
      <c r="E304" s="39"/>
      <c r="F304" s="39"/>
      <c r="G304" s="39"/>
    </row>
    <row r="305" spans="1:7">
      <c r="A305" s="80"/>
      <c r="B305" s="43"/>
      <c r="C305" s="39"/>
      <c r="D305" s="39"/>
      <c r="E305" s="39"/>
      <c r="F305" s="39"/>
      <c r="G305" s="39"/>
    </row>
    <row r="306" spans="1:7">
      <c r="A306" s="80"/>
      <c r="B306" s="43"/>
      <c r="C306" s="39"/>
      <c r="D306" s="39"/>
      <c r="E306" s="39"/>
      <c r="F306" s="39"/>
      <c r="G306" s="39"/>
    </row>
    <row r="307" spans="1:7">
      <c r="A307" s="80"/>
      <c r="B307" s="43"/>
      <c r="C307" s="39"/>
      <c r="D307" s="39"/>
      <c r="E307" s="39"/>
      <c r="F307" s="39"/>
      <c r="G307" s="39"/>
    </row>
    <row r="308" spans="1:7">
      <c r="A308" s="80"/>
      <c r="B308" s="43"/>
      <c r="C308" s="39"/>
      <c r="D308" s="39"/>
      <c r="E308" s="39"/>
      <c r="F308" s="39"/>
      <c r="G308" s="39"/>
    </row>
    <row r="309" spans="1:7">
      <c r="A309" s="80"/>
      <c r="B309" s="43"/>
      <c r="C309" s="39"/>
      <c r="D309" s="39"/>
      <c r="E309" s="39"/>
      <c r="F309" s="39"/>
      <c r="G309" s="39"/>
    </row>
    <row r="310" spans="1:7">
      <c r="A310" s="80"/>
      <c r="B310" s="43"/>
      <c r="C310" s="39"/>
      <c r="D310" s="39"/>
      <c r="E310" s="39"/>
      <c r="F310" s="39"/>
      <c r="G310" s="39"/>
    </row>
    <row r="311" spans="1:7">
      <c r="A311" s="80"/>
      <c r="B311" s="43"/>
      <c r="C311" s="39"/>
      <c r="D311" s="39"/>
      <c r="E311" s="39"/>
      <c r="F311" s="39"/>
      <c r="G311" s="39"/>
    </row>
    <row r="312" spans="1:7">
      <c r="A312" s="80"/>
      <c r="B312" s="43"/>
      <c r="C312" s="39"/>
      <c r="D312" s="39"/>
      <c r="E312" s="39"/>
      <c r="F312" s="39"/>
      <c r="G312" s="39"/>
    </row>
    <row r="313" spans="1:7">
      <c r="A313" s="80"/>
      <c r="B313" s="43"/>
      <c r="C313" s="39"/>
      <c r="D313" s="39"/>
      <c r="E313" s="39"/>
      <c r="F313" s="39"/>
      <c r="G313" s="39"/>
    </row>
    <row r="314" spans="1:7">
      <c r="A314" s="80"/>
      <c r="B314" s="43"/>
      <c r="C314" s="39"/>
      <c r="D314" s="39"/>
      <c r="E314" s="39"/>
      <c r="F314" s="39"/>
      <c r="G314" s="39"/>
    </row>
    <row r="315" spans="1:7">
      <c r="A315" s="80"/>
      <c r="B315" s="43"/>
      <c r="C315" s="39"/>
      <c r="D315" s="39"/>
      <c r="E315" s="39"/>
      <c r="F315" s="39"/>
      <c r="G315" s="39"/>
    </row>
    <row r="316" spans="1:7">
      <c r="A316" s="80"/>
      <c r="B316" s="43"/>
      <c r="C316" s="39"/>
      <c r="D316" s="39"/>
      <c r="E316" s="39"/>
      <c r="F316" s="39"/>
      <c r="G316" s="39"/>
    </row>
    <row r="317" spans="1:7">
      <c r="A317" s="80"/>
      <c r="B317" s="43"/>
      <c r="C317" s="39"/>
      <c r="D317" s="39"/>
      <c r="E317" s="39"/>
      <c r="F317" s="39"/>
      <c r="G317" s="39"/>
    </row>
    <row r="318" spans="1:7">
      <c r="A318" s="80"/>
      <c r="B318" s="43"/>
      <c r="C318" s="39"/>
      <c r="D318" s="39"/>
      <c r="E318" s="39"/>
      <c r="F318" s="39"/>
      <c r="G318" s="39"/>
    </row>
    <row r="319" spans="1:7">
      <c r="A319" s="80"/>
      <c r="B319" s="43"/>
      <c r="C319" s="39"/>
      <c r="D319" s="39"/>
      <c r="E319" s="39"/>
      <c r="F319" s="39"/>
      <c r="G319" s="39"/>
    </row>
    <row r="320" spans="1:7">
      <c r="A320" s="80"/>
      <c r="B320" s="43"/>
      <c r="C320" s="39"/>
      <c r="D320" s="39"/>
      <c r="E320" s="39"/>
      <c r="F320" s="39"/>
      <c r="G320" s="39"/>
    </row>
    <row r="321" spans="1:7">
      <c r="A321" s="80"/>
      <c r="B321" s="43"/>
      <c r="C321" s="39"/>
      <c r="D321" s="39"/>
      <c r="E321" s="39"/>
      <c r="F321" s="39"/>
      <c r="G321" s="39"/>
    </row>
    <row r="322" spans="1:7">
      <c r="A322" s="80"/>
      <c r="B322" s="43"/>
      <c r="C322" s="39"/>
      <c r="D322" s="39"/>
      <c r="E322" s="39"/>
      <c r="F322" s="39"/>
      <c r="G322" s="39"/>
    </row>
    <row r="323" spans="1:7">
      <c r="A323" s="80"/>
      <c r="B323" s="43"/>
      <c r="C323" s="39"/>
      <c r="D323" s="39"/>
      <c r="E323" s="39"/>
      <c r="F323" s="39"/>
      <c r="G323" s="39"/>
    </row>
    <row r="324" spans="1:7">
      <c r="A324" s="80"/>
      <c r="B324" s="43"/>
      <c r="C324" s="39"/>
      <c r="D324" s="39"/>
      <c r="E324" s="39"/>
      <c r="F324" s="39"/>
      <c r="G324" s="39"/>
    </row>
    <row r="325" spans="1:7">
      <c r="A325" s="80"/>
      <c r="B325" s="43"/>
      <c r="C325" s="39"/>
      <c r="D325" s="39"/>
      <c r="E325" s="39"/>
      <c r="F325" s="39"/>
      <c r="G325" s="39"/>
    </row>
    <row r="326" spans="1:7">
      <c r="A326" s="80"/>
      <c r="B326" s="43"/>
      <c r="C326" s="39"/>
      <c r="D326" s="39"/>
      <c r="E326" s="39"/>
      <c r="F326" s="39"/>
      <c r="G326" s="39"/>
    </row>
    <row r="327" spans="1:7">
      <c r="A327" s="80"/>
      <c r="B327" s="43"/>
      <c r="C327" s="39"/>
      <c r="D327" s="39"/>
      <c r="E327" s="39"/>
      <c r="F327" s="39"/>
      <c r="G327" s="39"/>
    </row>
    <row r="328" spans="1:7">
      <c r="A328" s="80"/>
      <c r="B328" s="43"/>
      <c r="C328" s="39"/>
      <c r="D328" s="39"/>
      <c r="E328" s="39"/>
      <c r="F328" s="39"/>
      <c r="G328" s="39"/>
    </row>
    <row r="329" spans="1:7">
      <c r="A329" s="80"/>
      <c r="B329" s="43"/>
      <c r="C329" s="39"/>
      <c r="D329" s="39"/>
      <c r="E329" s="39"/>
      <c r="F329" s="39"/>
      <c r="G329" s="39"/>
    </row>
    <row r="330" spans="1:7">
      <c r="A330" s="80"/>
      <c r="B330" s="43"/>
      <c r="C330" s="39"/>
      <c r="D330" s="39"/>
      <c r="E330" s="39"/>
      <c r="F330" s="39"/>
      <c r="G330" s="39"/>
    </row>
    <row r="331" spans="1:7">
      <c r="A331" s="80"/>
      <c r="B331" s="43"/>
      <c r="C331" s="39"/>
      <c r="D331" s="39"/>
      <c r="E331" s="39"/>
      <c r="F331" s="39"/>
      <c r="G331" s="39"/>
    </row>
    <row r="332" spans="1:7">
      <c r="A332" s="80"/>
      <c r="B332" s="43"/>
      <c r="C332" s="39"/>
      <c r="D332" s="39"/>
      <c r="E332" s="39"/>
      <c r="F332" s="39"/>
      <c r="G332" s="39"/>
    </row>
    <row r="333" spans="1:7">
      <c r="A333" s="80"/>
      <c r="B333" s="43"/>
      <c r="C333" s="39"/>
      <c r="D333" s="39"/>
      <c r="E333" s="39"/>
      <c r="F333" s="39"/>
      <c r="G333" s="39"/>
    </row>
    <row r="334" spans="1:7">
      <c r="A334" s="80"/>
      <c r="B334" s="43"/>
      <c r="C334" s="39"/>
      <c r="D334" s="39"/>
      <c r="E334" s="39"/>
      <c r="F334" s="39"/>
      <c r="G334" s="39"/>
    </row>
    <row r="335" spans="1:7">
      <c r="A335" s="80"/>
      <c r="B335" s="43"/>
      <c r="C335" s="39"/>
      <c r="D335" s="39"/>
      <c r="E335" s="39"/>
      <c r="F335" s="39"/>
      <c r="G335" s="39"/>
    </row>
    <row r="336" spans="1:7">
      <c r="A336" s="80"/>
      <c r="B336" s="43"/>
      <c r="C336" s="39"/>
      <c r="D336" s="39"/>
      <c r="E336" s="39"/>
      <c r="F336" s="39"/>
      <c r="G336" s="39"/>
    </row>
    <row r="337" spans="1:7">
      <c r="A337" s="80"/>
      <c r="B337" s="43"/>
      <c r="C337" s="39"/>
      <c r="D337" s="39"/>
      <c r="E337" s="39"/>
      <c r="F337" s="39"/>
      <c r="G337" s="39"/>
    </row>
    <row r="338" spans="1:7">
      <c r="A338" s="80"/>
      <c r="B338" s="43"/>
      <c r="C338" s="39"/>
      <c r="D338" s="39"/>
      <c r="E338" s="39"/>
      <c r="F338" s="39"/>
      <c r="G338" s="39"/>
    </row>
    <row r="339" spans="1:7">
      <c r="A339" s="80"/>
      <c r="B339" s="43"/>
      <c r="C339" s="39"/>
      <c r="D339" s="39"/>
      <c r="E339" s="39"/>
      <c r="F339" s="39"/>
      <c r="G339" s="39"/>
    </row>
    <row r="340" spans="1:7">
      <c r="A340" s="80"/>
      <c r="B340" s="43"/>
      <c r="C340" s="39"/>
      <c r="D340" s="39"/>
      <c r="E340" s="39"/>
      <c r="F340" s="39"/>
      <c r="G340" s="39"/>
    </row>
    <row r="341" spans="1:7">
      <c r="A341" s="80"/>
      <c r="B341" s="43"/>
      <c r="C341" s="39"/>
      <c r="D341" s="39"/>
      <c r="E341" s="39"/>
      <c r="F341" s="39"/>
      <c r="G341" s="39"/>
    </row>
    <row r="342" spans="1:7">
      <c r="A342" s="80"/>
      <c r="B342" s="43"/>
      <c r="C342" s="39"/>
      <c r="D342" s="39"/>
      <c r="E342" s="39"/>
      <c r="F342" s="39"/>
      <c r="G342" s="39"/>
    </row>
    <row r="343" spans="1:7">
      <c r="A343" s="80"/>
      <c r="B343" s="43"/>
      <c r="C343" s="39"/>
      <c r="D343" s="39"/>
      <c r="E343" s="39"/>
      <c r="F343" s="39"/>
      <c r="G343" s="39"/>
    </row>
    <row r="344" spans="1:7">
      <c r="A344" s="80"/>
      <c r="B344" s="43"/>
      <c r="C344" s="39"/>
      <c r="D344" s="39"/>
      <c r="E344" s="39"/>
      <c r="F344" s="39"/>
      <c r="G344" s="39"/>
    </row>
    <row r="345" spans="1:7">
      <c r="A345" s="80"/>
      <c r="B345" s="43"/>
      <c r="C345" s="39"/>
      <c r="D345" s="39"/>
      <c r="E345" s="39"/>
      <c r="F345" s="39"/>
      <c r="G345" s="39"/>
    </row>
    <row r="346" spans="1:7">
      <c r="A346" s="80"/>
      <c r="B346" s="43"/>
      <c r="C346" s="39"/>
      <c r="D346" s="39"/>
      <c r="E346" s="39"/>
      <c r="F346" s="39"/>
      <c r="G346" s="39"/>
    </row>
    <row r="347" spans="1:7">
      <c r="A347" s="80"/>
      <c r="B347" s="43"/>
      <c r="C347" s="39"/>
      <c r="D347" s="39"/>
      <c r="E347" s="39"/>
      <c r="F347" s="39"/>
      <c r="G347" s="39"/>
    </row>
    <row r="348" spans="1:7">
      <c r="A348" s="80"/>
      <c r="B348" s="43"/>
      <c r="C348" s="39"/>
      <c r="D348" s="39"/>
      <c r="E348" s="39"/>
      <c r="F348" s="39"/>
      <c r="G348" s="39"/>
    </row>
    <row r="349" spans="1:7">
      <c r="A349" s="80"/>
      <c r="B349" s="43"/>
      <c r="C349" s="39"/>
      <c r="D349" s="39"/>
      <c r="E349" s="39"/>
      <c r="F349" s="39"/>
      <c r="G349" s="39"/>
    </row>
    <row r="350" spans="1:7">
      <c r="A350" s="80"/>
      <c r="B350" s="43"/>
      <c r="C350" s="39"/>
      <c r="D350" s="39"/>
      <c r="E350" s="39"/>
      <c r="F350" s="39"/>
      <c r="G350" s="39"/>
    </row>
    <row r="351" spans="1:7">
      <c r="A351" s="80"/>
      <c r="B351" s="43"/>
      <c r="C351" s="39"/>
      <c r="D351" s="39"/>
      <c r="E351" s="39"/>
      <c r="F351" s="39"/>
      <c r="G351" s="39"/>
    </row>
    <row r="352" spans="1:7">
      <c r="A352" s="80"/>
      <c r="B352" s="43"/>
      <c r="C352" s="39"/>
      <c r="D352" s="39"/>
      <c r="E352" s="39"/>
      <c r="F352" s="39"/>
      <c r="G352" s="39"/>
    </row>
    <row r="353" spans="1:7">
      <c r="A353" s="80"/>
      <c r="B353" s="43"/>
      <c r="C353" s="39"/>
      <c r="D353" s="39"/>
      <c r="E353" s="39"/>
      <c r="F353" s="39"/>
      <c r="G353" s="39"/>
    </row>
    <row r="354" spans="1:7">
      <c r="A354" s="80"/>
      <c r="B354" s="43"/>
      <c r="C354" s="39"/>
      <c r="D354" s="39"/>
      <c r="E354" s="39"/>
      <c r="F354" s="39"/>
      <c r="G354" s="39"/>
    </row>
    <row r="355" spans="1:7">
      <c r="A355" s="80"/>
      <c r="B355" s="43"/>
      <c r="C355" s="39"/>
      <c r="D355" s="39"/>
      <c r="E355" s="39"/>
      <c r="F355" s="39"/>
      <c r="G355" s="39"/>
    </row>
    <row r="356" spans="1:7">
      <c r="A356" s="80"/>
      <c r="B356" s="43"/>
      <c r="C356" s="39"/>
      <c r="D356" s="39"/>
      <c r="E356" s="39"/>
      <c r="F356" s="39"/>
      <c r="G356" s="39"/>
    </row>
    <row r="357" spans="1:7">
      <c r="A357" s="80"/>
      <c r="B357" s="43"/>
      <c r="C357" s="39"/>
      <c r="D357" s="39"/>
      <c r="E357" s="39"/>
      <c r="F357" s="39"/>
      <c r="G357" s="39"/>
    </row>
    <row r="358" spans="1:7">
      <c r="A358" s="80"/>
      <c r="B358" s="43"/>
      <c r="C358" s="39"/>
      <c r="D358" s="39"/>
      <c r="E358" s="39"/>
      <c r="F358" s="39"/>
      <c r="G358" s="39"/>
    </row>
    <row r="359" spans="1:7">
      <c r="A359" s="80"/>
      <c r="B359" s="43"/>
      <c r="C359" s="39"/>
      <c r="D359" s="39"/>
      <c r="E359" s="39"/>
      <c r="F359" s="39"/>
      <c r="G359" s="39"/>
    </row>
    <row r="360" spans="1:7">
      <c r="A360" s="80"/>
      <c r="B360" s="43"/>
      <c r="C360" s="39"/>
      <c r="D360" s="39"/>
      <c r="E360" s="39"/>
      <c r="F360" s="39"/>
      <c r="G360" s="39"/>
    </row>
    <row r="361" spans="1:7">
      <c r="A361" s="80"/>
      <c r="B361" s="43"/>
      <c r="C361" s="39"/>
      <c r="D361" s="39"/>
      <c r="E361" s="39"/>
      <c r="F361" s="39"/>
      <c r="G361" s="39"/>
    </row>
    <row r="362" spans="1:7">
      <c r="A362" s="80"/>
      <c r="B362" s="43"/>
      <c r="C362" s="39"/>
      <c r="D362" s="39"/>
      <c r="E362" s="39"/>
      <c r="F362" s="39"/>
      <c r="G362" s="39"/>
    </row>
    <row r="363" spans="1:7">
      <c r="A363" s="80"/>
      <c r="B363" s="43"/>
      <c r="C363" s="39"/>
      <c r="D363" s="39"/>
      <c r="E363" s="39"/>
      <c r="F363" s="39"/>
      <c r="G363" s="39"/>
    </row>
    <row r="364" spans="1:7">
      <c r="A364" s="80"/>
      <c r="B364" s="43"/>
      <c r="C364" s="39"/>
      <c r="D364" s="39"/>
      <c r="E364" s="39"/>
      <c r="F364" s="39"/>
      <c r="G364" s="39"/>
    </row>
    <row r="365" spans="1:7">
      <c r="A365" s="80"/>
      <c r="B365" s="43"/>
      <c r="C365" s="39"/>
      <c r="D365" s="39"/>
      <c r="E365" s="39"/>
      <c r="F365" s="39"/>
      <c r="G365" s="39"/>
    </row>
    <row r="366" spans="1:7">
      <c r="A366" s="80"/>
      <c r="B366" s="43"/>
      <c r="C366" s="39"/>
      <c r="D366" s="39"/>
      <c r="E366" s="39"/>
      <c r="F366" s="39"/>
      <c r="G366" s="39"/>
    </row>
    <row r="367" spans="1:7">
      <c r="A367" s="80"/>
      <c r="B367" s="43"/>
      <c r="C367" s="39"/>
      <c r="D367" s="39"/>
      <c r="E367" s="39"/>
      <c r="F367" s="39"/>
      <c r="G367" s="39"/>
    </row>
    <row r="368" spans="1:7">
      <c r="A368" s="80"/>
      <c r="B368" s="43"/>
      <c r="C368" s="39"/>
      <c r="D368" s="39"/>
      <c r="E368" s="39"/>
      <c r="F368" s="39"/>
      <c r="G368" s="39"/>
    </row>
    <row r="369" spans="1:7">
      <c r="A369" s="80"/>
      <c r="B369" s="43"/>
      <c r="C369" s="39"/>
      <c r="D369" s="39"/>
      <c r="E369" s="39"/>
      <c r="F369" s="39"/>
      <c r="G369" s="39"/>
    </row>
    <row r="370" spans="1:7">
      <c r="A370" s="80"/>
      <c r="B370" s="43"/>
      <c r="C370" s="39"/>
      <c r="D370" s="39"/>
      <c r="E370" s="39"/>
      <c r="F370" s="39"/>
      <c r="G370" s="39"/>
    </row>
    <row r="371" spans="1:7">
      <c r="A371" s="80"/>
      <c r="B371" s="43"/>
      <c r="C371" s="39"/>
      <c r="D371" s="39"/>
      <c r="E371" s="39"/>
      <c r="F371" s="39"/>
      <c r="G371" s="39"/>
    </row>
    <row r="372" spans="1:7">
      <c r="A372" s="80"/>
      <c r="B372" s="43"/>
      <c r="C372" s="39"/>
      <c r="D372" s="39"/>
      <c r="E372" s="39"/>
      <c r="F372" s="39"/>
      <c r="G372" s="39"/>
    </row>
  </sheetData>
  <mergeCells count="155">
    <mergeCell ref="G70:G71"/>
    <mergeCell ref="E73:E74"/>
    <mergeCell ref="F239:F240"/>
    <mergeCell ref="B80:B81"/>
    <mergeCell ref="A80:A81"/>
    <mergeCell ref="C80:C81"/>
    <mergeCell ref="C70:C71"/>
    <mergeCell ref="B70:B71"/>
    <mergeCell ref="D70:D71"/>
    <mergeCell ref="E70:E71"/>
    <mergeCell ref="F70:F71"/>
    <mergeCell ref="C118:C121"/>
    <mergeCell ref="B129:B131"/>
    <mergeCell ref="C239:C240"/>
    <mergeCell ref="B196:B198"/>
    <mergeCell ref="C196:C198"/>
    <mergeCell ref="A196:A198"/>
    <mergeCell ref="A200:A201"/>
    <mergeCell ref="A235:A236"/>
    <mergeCell ref="A237:A238"/>
    <mergeCell ref="A229:A231"/>
    <mergeCell ref="A192:A193"/>
    <mergeCell ref="B192:B193"/>
    <mergeCell ref="C192:C193"/>
    <mergeCell ref="C242:C243"/>
    <mergeCell ref="H70:H71"/>
    <mergeCell ref="A70:A71"/>
    <mergeCell ref="C262:C263"/>
    <mergeCell ref="B180:B181"/>
    <mergeCell ref="E244:E245"/>
    <mergeCell ref="C244:C245"/>
    <mergeCell ref="C229:C231"/>
    <mergeCell ref="B229:B231"/>
    <mergeCell ref="B235:B236"/>
    <mergeCell ref="C235:C236"/>
    <mergeCell ref="B213:B215"/>
    <mergeCell ref="C213:C215"/>
    <mergeCell ref="B221:B223"/>
    <mergeCell ref="C221:C223"/>
    <mergeCell ref="B262:B263"/>
    <mergeCell ref="D180:D181"/>
    <mergeCell ref="C169:C170"/>
    <mergeCell ref="D239:D240"/>
    <mergeCell ref="E239:E240"/>
    <mergeCell ref="C259:C261"/>
    <mergeCell ref="E246:E247"/>
    <mergeCell ref="B259:B261"/>
    <mergeCell ref="A255:A257"/>
    <mergeCell ref="B252:B253"/>
    <mergeCell ref="C252:C253"/>
    <mergeCell ref="D252:D253"/>
    <mergeCell ref="A252:A253"/>
    <mergeCell ref="E180:E181"/>
    <mergeCell ref="C180:C181"/>
    <mergeCell ref="F180:F181"/>
    <mergeCell ref="G180:G181"/>
    <mergeCell ref="C152:C154"/>
    <mergeCell ref="A221:A223"/>
    <mergeCell ref="C200:C201"/>
    <mergeCell ref="A180:A181"/>
    <mergeCell ref="B200:B201"/>
    <mergeCell ref="B204:B205"/>
    <mergeCell ref="A204:A205"/>
    <mergeCell ref="C204:C205"/>
    <mergeCell ref="G239:G240"/>
    <mergeCell ref="A244:A245"/>
    <mergeCell ref="B244:B245"/>
    <mergeCell ref="B246:B247"/>
    <mergeCell ref="A246:A247"/>
    <mergeCell ref="C246:C247"/>
    <mergeCell ref="B242:B243"/>
    <mergeCell ref="A242:A243"/>
    <mergeCell ref="C237:C238"/>
    <mergeCell ref="B237:B238"/>
    <mergeCell ref="B173:B174"/>
    <mergeCell ref="A173:A174"/>
    <mergeCell ref="C173:C174"/>
    <mergeCell ref="B175:B176"/>
    <mergeCell ref="A175:A176"/>
    <mergeCell ref="C175:C176"/>
    <mergeCell ref="A169:A170"/>
    <mergeCell ref="C209:C210"/>
    <mergeCell ref="B209:B210"/>
    <mergeCell ref="A139:A141"/>
    <mergeCell ref="A136:A137"/>
    <mergeCell ref="A262:A263"/>
    <mergeCell ref="C129:C131"/>
    <mergeCell ref="B118:B121"/>
    <mergeCell ref="B94:B97"/>
    <mergeCell ref="B139:B141"/>
    <mergeCell ref="A94:A97"/>
    <mergeCell ref="A98:A99"/>
    <mergeCell ref="A100:A101"/>
    <mergeCell ref="A118:A121"/>
    <mergeCell ref="A129:A131"/>
    <mergeCell ref="A125:A127"/>
    <mergeCell ref="B100:B101"/>
    <mergeCell ref="C100:C101"/>
    <mergeCell ref="A213:A215"/>
    <mergeCell ref="A259:A261"/>
    <mergeCell ref="B255:B257"/>
    <mergeCell ref="C255:C257"/>
    <mergeCell ref="A239:A240"/>
    <mergeCell ref="B239:B240"/>
    <mergeCell ref="B169:B170"/>
    <mergeCell ref="B98:B99"/>
    <mergeCell ref="C98:C99"/>
    <mergeCell ref="A11:H11"/>
    <mergeCell ref="D129:D131"/>
    <mergeCell ref="E139:E141"/>
    <mergeCell ref="E125:E127"/>
    <mergeCell ref="C73:C74"/>
    <mergeCell ref="C65:C66"/>
    <mergeCell ref="A65:A66"/>
    <mergeCell ref="C86:C89"/>
    <mergeCell ref="B86:B89"/>
    <mergeCell ref="C139:C141"/>
    <mergeCell ref="C94:C97"/>
    <mergeCell ref="A26:A28"/>
    <mergeCell ref="B26:B28"/>
    <mergeCell ref="C26:C28"/>
    <mergeCell ref="G139:G141"/>
    <mergeCell ref="F125:F127"/>
    <mergeCell ref="G125:G127"/>
    <mergeCell ref="E129:E131"/>
    <mergeCell ref="F129:F131"/>
    <mergeCell ref="G129:G131"/>
    <mergeCell ref="B29:B30"/>
    <mergeCell ref="C29:C30"/>
    <mergeCell ref="B78:B79"/>
    <mergeCell ref="A78:A79"/>
    <mergeCell ref="H239:H240"/>
    <mergeCell ref="H180:H181"/>
    <mergeCell ref="A29:A30"/>
    <mergeCell ref="B39:B41"/>
    <mergeCell ref="C39:C41"/>
    <mergeCell ref="A39:A41"/>
    <mergeCell ref="H125:H127"/>
    <mergeCell ref="H129:H131"/>
    <mergeCell ref="H139:H141"/>
    <mergeCell ref="D125:D127"/>
    <mergeCell ref="B43:B44"/>
    <mergeCell ref="A43:A44"/>
    <mergeCell ref="B73:B74"/>
    <mergeCell ref="B65:B66"/>
    <mergeCell ref="F139:F141"/>
    <mergeCell ref="B136:B137"/>
    <mergeCell ref="C136:C137"/>
    <mergeCell ref="D139:D141"/>
    <mergeCell ref="B125:B127"/>
    <mergeCell ref="C125:C127"/>
    <mergeCell ref="A152:A154"/>
    <mergeCell ref="B152:B154"/>
    <mergeCell ref="A86:A89"/>
    <mergeCell ref="A73:A74"/>
  </mergeCells>
  <printOptions horizontalCentered="1"/>
  <pageMargins left="0.35433070866141736" right="0.39370078740157483" top="0.35433070866141736" bottom="0.19685039370078741" header="0.15748031496062992" footer="0.19685039370078741"/>
  <pageSetup paperSize="9" scale="60" fitToHeight="30" orientation="landscape" r:id="rId1"/>
  <rowBreaks count="10" manualBreakCount="10">
    <brk id="53" max="7" man="1"/>
    <brk id="64" max="7" man="1"/>
    <brk id="83" max="7" man="1"/>
    <brk id="109" max="7" man="1"/>
    <brk id="124" max="7" man="1"/>
    <brk id="149" max="7" man="1"/>
    <brk id="170" max="7" man="1"/>
    <brk id="193" max="7" man="1"/>
    <brk id="216" max="7" man="1"/>
    <brk id="2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2024-05-24T07:03:57Z</dcterms:modified>
</cp:coreProperties>
</file>