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8055" activeTab="2"/>
  </bookViews>
  <sheets>
    <sheet name="приложение 3" sheetId="3" r:id="rId1"/>
    <sheet name="приложение 4" sheetId="1" r:id="rId2"/>
    <sheet name="приложение 5" sheetId="2" r:id="rId3"/>
  </sheets>
  <definedNames>
    <definedName name="_xlnm._FilterDatabase" localSheetId="1" hidden="1">'приложение 4'!$A$11:$AF$713</definedName>
    <definedName name="_xlnm._FilterDatabase" localSheetId="2" hidden="1">'приложение 5'!$A$9:$I$261</definedName>
    <definedName name="_xlnm.Print_Titles" localSheetId="0">'приложение 3'!$10:$11</definedName>
    <definedName name="_xlnm.Print_Titles" localSheetId="1">'приложение 4'!$10:$11</definedName>
    <definedName name="_xlnm.Print_Titles" localSheetId="2">'приложение 5'!$8:$9</definedName>
    <definedName name="_xlnm.Print_Area" localSheetId="0">'приложение 3'!$A$1:$G$58</definedName>
    <definedName name="_xlnm.Print_Area" localSheetId="1">'приложение 4'!$A$1:$J$710</definedName>
    <definedName name="_xlnm.Print_Area" localSheetId="2">'приложение 5'!$A$1:$I$261</definedName>
  </definedNames>
  <calcPr calcId="144525"/>
</workbook>
</file>

<file path=xl/calcChain.xml><?xml version="1.0" encoding="utf-8"?>
<calcChain xmlns="http://schemas.openxmlformats.org/spreadsheetml/2006/main">
  <c r="J19" i="1" l="1"/>
  <c r="J21" i="1"/>
  <c r="J23" i="1"/>
  <c r="J24" i="1"/>
  <c r="J27" i="1"/>
  <c r="J33" i="1"/>
  <c r="J40" i="1"/>
  <c r="J47" i="1"/>
  <c r="J54" i="1"/>
  <c r="J60" i="1"/>
  <c r="J67" i="1"/>
  <c r="J74" i="1"/>
  <c r="J80" i="1"/>
  <c r="J87" i="1"/>
  <c r="J94" i="1"/>
  <c r="J100" i="1"/>
  <c r="J107" i="1"/>
  <c r="J110" i="1"/>
  <c r="J116" i="1"/>
  <c r="J121" i="1"/>
  <c r="J126" i="1"/>
  <c r="J134" i="1"/>
  <c r="J140" i="1"/>
  <c r="J142" i="1"/>
  <c r="J144" i="1"/>
  <c r="J147" i="1"/>
  <c r="J153" i="1"/>
  <c r="J159" i="1"/>
  <c r="J165" i="1"/>
  <c r="J167" i="1"/>
  <c r="J170" i="1"/>
  <c r="J172" i="1"/>
  <c r="J175" i="1"/>
  <c r="J178" i="1"/>
  <c r="J181" i="1"/>
  <c r="J184" i="1"/>
  <c r="J189" i="1"/>
  <c r="J193" i="1"/>
  <c r="J195" i="1"/>
  <c r="J202" i="1"/>
  <c r="J205" i="1"/>
  <c r="J209" i="1"/>
  <c r="J212" i="1"/>
  <c r="J215" i="1"/>
  <c r="J222" i="1"/>
  <c r="J224" i="1"/>
  <c r="J230" i="1"/>
  <c r="J232" i="1"/>
  <c r="J238" i="1"/>
  <c r="J240" i="1"/>
  <c r="J243" i="1"/>
  <c r="J245" i="1"/>
  <c r="J251" i="1"/>
  <c r="J260" i="1"/>
  <c r="J265" i="1"/>
  <c r="J268" i="1"/>
  <c r="J275" i="1"/>
  <c r="J277" i="1"/>
  <c r="J283" i="1"/>
  <c r="J286" i="1"/>
  <c r="J293" i="1"/>
  <c r="J295" i="1"/>
  <c r="J299" i="1"/>
  <c r="J306" i="1"/>
  <c r="J308" i="1"/>
  <c r="J315" i="1"/>
  <c r="J321" i="1"/>
  <c r="J327" i="1"/>
  <c r="J333" i="1"/>
  <c r="J335" i="1"/>
  <c r="J338" i="1"/>
  <c r="J340" i="1"/>
  <c r="J343" i="1"/>
  <c r="J348" i="1"/>
  <c r="J351" i="1"/>
  <c r="J353" i="1"/>
  <c r="J358" i="1"/>
  <c r="J360" i="1"/>
  <c r="J368" i="1"/>
  <c r="J370" i="1"/>
  <c r="J372" i="1"/>
  <c r="J375" i="1"/>
  <c r="J383" i="1"/>
  <c r="J385" i="1"/>
  <c r="J387" i="1"/>
  <c r="J390" i="1"/>
  <c r="J392" i="1"/>
  <c r="J400" i="1"/>
  <c r="J402" i="1"/>
  <c r="J404" i="1"/>
  <c r="J407" i="1"/>
  <c r="J409" i="1"/>
  <c r="J417" i="1"/>
  <c r="J419" i="1"/>
  <c r="J421" i="1"/>
  <c r="J426" i="1"/>
  <c r="J429" i="1"/>
  <c r="J437" i="1"/>
  <c r="J440" i="1"/>
  <c r="J443" i="1"/>
  <c r="J446" i="1"/>
  <c r="J449" i="1"/>
  <c r="J452" i="1"/>
  <c r="J455" i="1"/>
  <c r="J460" i="1"/>
  <c r="J466" i="1"/>
  <c r="J469" i="1"/>
  <c r="J472" i="1"/>
  <c r="J475" i="1"/>
  <c r="J478" i="1"/>
  <c r="J481" i="1"/>
  <c r="J484" i="1"/>
  <c r="J487" i="1"/>
  <c r="J490" i="1"/>
  <c r="J493" i="1"/>
  <c r="J496" i="1"/>
  <c r="J499" i="1"/>
  <c r="J502" i="1"/>
  <c r="J505" i="1"/>
  <c r="J508" i="1"/>
  <c r="J511" i="1"/>
  <c r="J514" i="1"/>
  <c r="J519" i="1"/>
  <c r="J525" i="1"/>
  <c r="J529" i="1"/>
  <c r="J532" i="1"/>
  <c r="J533" i="1"/>
  <c r="J534" i="1"/>
  <c r="J536" i="1"/>
  <c r="J539" i="1"/>
  <c r="J542" i="1"/>
  <c r="J548" i="1"/>
  <c r="J550" i="1"/>
  <c r="J552" i="1"/>
  <c r="J562" i="1"/>
  <c r="J568" i="1"/>
  <c r="J570" i="1"/>
  <c r="J576" i="1"/>
  <c r="J578" i="1"/>
  <c r="J586" i="1"/>
  <c r="J589" i="1"/>
  <c r="J595" i="1"/>
  <c r="J602" i="1"/>
  <c r="J605" i="1"/>
  <c r="J609" i="1"/>
  <c r="J616" i="1"/>
  <c r="J619" i="1"/>
  <c r="J623" i="1"/>
  <c r="J626" i="1"/>
  <c r="J630" i="1"/>
  <c r="J633" i="1"/>
  <c r="J636" i="1"/>
  <c r="J642" i="1"/>
  <c r="J645" i="1"/>
  <c r="J651" i="1"/>
  <c r="J653" i="1"/>
  <c r="J655" i="1"/>
  <c r="J659" i="1"/>
  <c r="J666" i="1"/>
  <c r="J670" i="1"/>
  <c r="J678" i="1"/>
  <c r="J680" i="1"/>
  <c r="J682" i="1"/>
  <c r="J685" i="1"/>
  <c r="J696" i="1"/>
  <c r="J698" i="1"/>
  <c r="J700" i="1"/>
  <c r="J703" i="1"/>
  <c r="J706" i="1"/>
  <c r="J709" i="1"/>
  <c r="H471" i="1"/>
  <c r="H470" i="1" s="1"/>
  <c r="I471" i="1"/>
  <c r="I551" i="1"/>
  <c r="J551" i="1" s="1"/>
  <c r="H551" i="1"/>
  <c r="H474" i="1"/>
  <c r="H473" i="1" s="1"/>
  <c r="I474" i="1"/>
  <c r="G113" i="2"/>
  <c r="H113" i="2"/>
  <c r="F113" i="2"/>
  <c r="G112" i="2"/>
  <c r="H112" i="2"/>
  <c r="I112" i="2" s="1"/>
  <c r="E16" i="3"/>
  <c r="F16" i="3"/>
  <c r="E18" i="3"/>
  <c r="F18" i="3"/>
  <c r="G18" i="3" s="1"/>
  <c r="H305" i="1"/>
  <c r="I305" i="1"/>
  <c r="J305" i="1" s="1"/>
  <c r="H139" i="1"/>
  <c r="I139" i="1"/>
  <c r="J139" i="1" s="1"/>
  <c r="I66" i="1"/>
  <c r="H66" i="1"/>
  <c r="H65" i="1" s="1"/>
  <c r="H64" i="1" s="1"/>
  <c r="H63" i="1" s="1"/>
  <c r="H62" i="1" s="1"/>
  <c r="H61" i="1" s="1"/>
  <c r="I113" i="2" l="1"/>
  <c r="G16" i="3"/>
  <c r="I473" i="1"/>
  <c r="J473" i="1" s="1"/>
  <c r="J474" i="1"/>
  <c r="I470" i="1"/>
  <c r="J470" i="1" s="1"/>
  <c r="J471" i="1"/>
  <c r="I65" i="1"/>
  <c r="J66" i="1"/>
  <c r="H137" i="2"/>
  <c r="G343" i="1"/>
  <c r="G159" i="1"/>
  <c r="I64" i="1" l="1"/>
  <c r="J65" i="1"/>
  <c r="G429" i="1"/>
  <c r="G496" i="1"/>
  <c r="I63" i="1" l="1"/>
  <c r="J64" i="1"/>
  <c r="G147" i="1"/>
  <c r="G140" i="1"/>
  <c r="G142" i="1"/>
  <c r="G144" i="1"/>
  <c r="I62" i="1" l="1"/>
  <c r="J63" i="1"/>
  <c r="G449" i="1"/>
  <c r="G446" i="1"/>
  <c r="I61" i="1" l="1"/>
  <c r="J61" i="1" s="1"/>
  <c r="J62" i="1"/>
  <c r="G616" i="1"/>
  <c r="G651" i="1" l="1"/>
  <c r="G623" i="1"/>
  <c r="G619" i="1"/>
  <c r="G586" i="1"/>
  <c r="G595" i="1"/>
  <c r="G116" i="1" l="1"/>
  <c r="G417" i="1"/>
  <c r="G19" i="1" l="1"/>
  <c r="G696" i="1"/>
  <c r="G709" i="1"/>
  <c r="G703" i="1"/>
  <c r="G706" i="1"/>
  <c r="G685" i="1"/>
  <c r="G678" i="1"/>
  <c r="G134" i="1"/>
  <c r="G100" i="1"/>
  <c r="G21" i="1"/>
  <c r="G60" i="1"/>
  <c r="G27" i="1"/>
  <c r="G529" i="1"/>
  <c r="G383" i="1"/>
  <c r="G368" i="1"/>
  <c r="G400" i="1"/>
  <c r="G548" i="1"/>
  <c r="G437" i="1"/>
  <c r="G466" i="1"/>
  <c r="G478" i="1"/>
  <c r="E69" i="2"/>
  <c r="D69" i="2"/>
  <c r="C69" i="2"/>
  <c r="B69" i="2"/>
  <c r="H510" i="1"/>
  <c r="H509" i="1" s="1"/>
  <c r="G69" i="2" s="1"/>
  <c r="I510" i="1"/>
  <c r="G510" i="1"/>
  <c r="G509" i="1" s="1"/>
  <c r="F69" i="2" s="1"/>
  <c r="G502" i="1"/>
  <c r="E232" i="2"/>
  <c r="D232" i="2"/>
  <c r="C232" i="2"/>
  <c r="B232" i="2"/>
  <c r="G72" i="2"/>
  <c r="H72" i="2"/>
  <c r="F72" i="2"/>
  <c r="D72" i="2"/>
  <c r="C72" i="2"/>
  <c r="B72" i="2"/>
  <c r="C199" i="2"/>
  <c r="B199" i="2"/>
  <c r="I72" i="2" l="1"/>
  <c r="I509" i="1"/>
  <c r="J510" i="1"/>
  <c r="G472" i="1"/>
  <c r="H468" i="1"/>
  <c r="H467" i="1" s="1"/>
  <c r="I468" i="1"/>
  <c r="G468" i="1"/>
  <c r="G467" i="1" s="1"/>
  <c r="G570" i="1"/>
  <c r="I565" i="1"/>
  <c r="J565" i="1" s="1"/>
  <c r="G565" i="1"/>
  <c r="J468" i="1" l="1"/>
  <c r="I467" i="1"/>
  <c r="J467" i="1" s="1"/>
  <c r="H69" i="2"/>
  <c r="I69" i="2" s="1"/>
  <c r="J509" i="1"/>
  <c r="G562" i="1"/>
  <c r="G552" i="1"/>
  <c r="G551" i="1" s="1"/>
  <c r="G550" i="1"/>
  <c r="G525" i="1"/>
  <c r="G519" i="1"/>
  <c r="G493" i="1"/>
  <c r="G484" i="1"/>
  <c r="G419" i="1"/>
  <c r="H342" i="1"/>
  <c r="H341" i="1" s="1"/>
  <c r="G232" i="2" s="1"/>
  <c r="I342" i="1"/>
  <c r="G342" i="1"/>
  <c r="G341" i="1" s="1"/>
  <c r="F232" i="2" s="1"/>
  <c r="G340" i="1"/>
  <c r="G327" i="1"/>
  <c r="G286" i="1"/>
  <c r="G283" i="1"/>
  <c r="H242" i="1"/>
  <c r="I242" i="1"/>
  <c r="J242" i="1" s="1"/>
  <c r="G242" i="1"/>
  <c r="H73" i="1"/>
  <c r="H72" i="1" s="1"/>
  <c r="I73" i="1"/>
  <c r="G73" i="1"/>
  <c r="G72" i="1" s="1"/>
  <c r="G40" i="1"/>
  <c r="I72" i="1" l="1"/>
  <c r="J72" i="1" s="1"/>
  <c r="J73" i="1"/>
  <c r="I341" i="1"/>
  <c r="J342" i="1"/>
  <c r="H71" i="1"/>
  <c r="H70" i="1" s="1"/>
  <c r="H69" i="1" s="1"/>
  <c r="G199" i="2"/>
  <c r="G71" i="1"/>
  <c r="G70" i="1" s="1"/>
  <c r="G69" i="1" s="1"/>
  <c r="F199" i="2"/>
  <c r="H199" i="2" l="1"/>
  <c r="I199" i="2" s="1"/>
  <c r="I71" i="1"/>
  <c r="H232" i="2"/>
  <c r="I232" i="2" s="1"/>
  <c r="J341" i="1"/>
  <c r="G299" i="1"/>
  <c r="F200" i="2" s="1"/>
  <c r="I70" i="1" l="1"/>
  <c r="J71" i="1"/>
  <c r="G184" i="1"/>
  <c r="I69" i="1" l="1"/>
  <c r="J69" i="1" s="1"/>
  <c r="J70" i="1"/>
  <c r="G189" i="1"/>
  <c r="G487" i="1"/>
  <c r="G178" i="1"/>
  <c r="G181" i="1" l="1"/>
  <c r="G268" i="1" l="1"/>
  <c r="G265" i="1" l="1"/>
  <c r="G426" i="1" l="1"/>
  <c r="G315" i="1"/>
  <c r="G175" i="1"/>
  <c r="G348" i="1"/>
  <c r="G277" i="1"/>
  <c r="G275" i="1"/>
  <c r="G238" i="1"/>
  <c r="G353" i="1"/>
  <c r="G80" i="1"/>
  <c r="G121" i="2" l="1"/>
  <c r="H121" i="2"/>
  <c r="F121" i="2"/>
  <c r="E121" i="2"/>
  <c r="D121" i="2"/>
  <c r="C121" i="2"/>
  <c r="B121" i="2"/>
  <c r="I121" i="2" l="1"/>
  <c r="G499" i="1"/>
  <c r="G542" i="1"/>
  <c r="G460" i="1"/>
  <c r="G443" i="1"/>
  <c r="G421" i="1"/>
  <c r="G375" i="1"/>
  <c r="G205" i="1"/>
  <c r="H120" i="1"/>
  <c r="H119" i="1" s="1"/>
  <c r="H118" i="1" s="1"/>
  <c r="I120" i="1"/>
  <c r="G120" i="1"/>
  <c r="G119" i="1" s="1"/>
  <c r="G118" i="1" s="1"/>
  <c r="B12" i="2"/>
  <c r="I119" i="1" l="1"/>
  <c r="J120" i="1"/>
  <c r="G182" i="2"/>
  <c r="H182" i="2"/>
  <c r="I182" i="2" s="1"/>
  <c r="H267" i="1"/>
  <c r="H266" i="1" s="1"/>
  <c r="G183" i="2" s="1"/>
  <c r="I267" i="1"/>
  <c r="G267" i="1"/>
  <c r="G266" i="1" s="1"/>
  <c r="F183" i="2" s="1"/>
  <c r="I266" i="1" l="1"/>
  <c r="J267" i="1"/>
  <c r="I118" i="1"/>
  <c r="J118" i="1" s="1"/>
  <c r="J119" i="1"/>
  <c r="G181" i="2"/>
  <c r="H688" i="1"/>
  <c r="J688" i="1" s="1"/>
  <c r="H183" i="2" l="1"/>
  <c r="J266" i="1"/>
  <c r="H204" i="1"/>
  <c r="H203" i="1" s="1"/>
  <c r="G151" i="2" s="1"/>
  <c r="I204" i="1"/>
  <c r="G204" i="1"/>
  <c r="G203" i="1" s="1"/>
  <c r="F151" i="2" s="1"/>
  <c r="G202" i="1"/>
  <c r="I203" i="1" l="1"/>
  <c r="J204" i="1"/>
  <c r="I183" i="2"/>
  <c r="H181" i="2"/>
  <c r="I181" i="2" s="1"/>
  <c r="G67" i="1"/>
  <c r="H79" i="1"/>
  <c r="H78" i="1" s="1"/>
  <c r="I79" i="1"/>
  <c r="G79" i="1"/>
  <c r="G78" i="1" s="1"/>
  <c r="G77" i="1" s="1"/>
  <c r="G76" i="1" s="1"/>
  <c r="G75" i="1" s="1"/>
  <c r="G68" i="1" s="1"/>
  <c r="H151" i="2" l="1"/>
  <c r="I151" i="2" s="1"/>
  <c r="J203" i="1"/>
  <c r="I78" i="1"/>
  <c r="J78" i="1" s="1"/>
  <c r="J79" i="1"/>
  <c r="G201" i="2"/>
  <c r="H77" i="1"/>
  <c r="H76" i="1" s="1"/>
  <c r="H75" i="1" s="1"/>
  <c r="H68" i="1" s="1"/>
  <c r="F201" i="2"/>
  <c r="G251" i="1"/>
  <c r="I77" i="1" l="1"/>
  <c r="H201" i="2"/>
  <c r="I201" i="2" s="1"/>
  <c r="G688" i="1"/>
  <c r="G589" i="1"/>
  <c r="I76" i="1" l="1"/>
  <c r="J77" i="1"/>
  <c r="G370" i="1"/>
  <c r="G440" i="1"/>
  <c r="H507" i="1"/>
  <c r="H506" i="1" s="1"/>
  <c r="G68" i="2" s="1"/>
  <c r="I507" i="1"/>
  <c r="G507" i="1"/>
  <c r="G506" i="1" s="1"/>
  <c r="F68" i="2" s="1"/>
  <c r="H501" i="1"/>
  <c r="H500" i="1" s="1"/>
  <c r="G66" i="2" s="1"/>
  <c r="I501" i="1"/>
  <c r="G501" i="1"/>
  <c r="G500" i="1" s="1"/>
  <c r="F66" i="2" s="1"/>
  <c r="H538" i="1"/>
  <c r="H537" i="1" s="1"/>
  <c r="G83" i="2" s="1"/>
  <c r="I538" i="1"/>
  <c r="G538" i="1"/>
  <c r="G537" i="1" s="1"/>
  <c r="F83" i="2" s="1"/>
  <c r="H504" i="1"/>
  <c r="H503" i="1" s="1"/>
  <c r="G67" i="2" s="1"/>
  <c r="I504" i="1"/>
  <c r="G504" i="1"/>
  <c r="G503" i="1" s="1"/>
  <c r="F67" i="2" s="1"/>
  <c r="I537" i="1" l="1"/>
  <c r="J538" i="1"/>
  <c r="I503" i="1"/>
  <c r="J504" i="1"/>
  <c r="I506" i="1"/>
  <c r="J507" i="1"/>
  <c r="I500" i="1"/>
  <c r="J501" i="1"/>
  <c r="I75" i="1"/>
  <c r="J76" i="1"/>
  <c r="H454" i="1"/>
  <c r="H453" i="1" s="1"/>
  <c r="G49" i="2" s="1"/>
  <c r="I454" i="1"/>
  <c r="G454" i="1"/>
  <c r="G453" i="1" s="1"/>
  <c r="F49" i="2" s="1"/>
  <c r="I453" i="1" l="1"/>
  <c r="J454" i="1"/>
  <c r="H66" i="2"/>
  <c r="I66" i="2" s="1"/>
  <c r="J500" i="1"/>
  <c r="H67" i="2"/>
  <c r="I67" i="2" s="1"/>
  <c r="J503" i="1"/>
  <c r="I68" i="1"/>
  <c r="J68" i="1" s="1"/>
  <c r="J75" i="1"/>
  <c r="H68" i="2"/>
  <c r="I68" i="2" s="1"/>
  <c r="J506" i="1"/>
  <c r="H83" i="2"/>
  <c r="I83" i="2" s="1"/>
  <c r="J537" i="1"/>
  <c r="G74" i="2"/>
  <c r="H74" i="2"/>
  <c r="F74" i="2"/>
  <c r="G76" i="2"/>
  <c r="H76" i="2"/>
  <c r="F76" i="2"/>
  <c r="C76" i="2"/>
  <c r="B76" i="2"/>
  <c r="I76" i="2" l="1"/>
  <c r="I74" i="2"/>
  <c r="H49" i="2"/>
  <c r="I49" i="2" s="1"/>
  <c r="J453" i="1"/>
  <c r="G73" i="2"/>
  <c r="I518" i="1"/>
  <c r="H518" i="1"/>
  <c r="H517" i="1" s="1"/>
  <c r="G518" i="1"/>
  <c r="G517" i="1" s="1"/>
  <c r="G516" i="1" s="1"/>
  <c r="G515" i="1" s="1"/>
  <c r="H498" i="1"/>
  <c r="H497" i="1" s="1"/>
  <c r="I498" i="1"/>
  <c r="G498" i="1"/>
  <c r="G497" i="1" s="1"/>
  <c r="H541" i="1"/>
  <c r="H540" i="1" s="1"/>
  <c r="G84" i="2" s="1"/>
  <c r="I541" i="1"/>
  <c r="G541" i="1"/>
  <c r="G540" i="1" s="1"/>
  <c r="F84" i="2" s="1"/>
  <c r="H564" i="1"/>
  <c r="H563" i="1" s="1"/>
  <c r="I564" i="1"/>
  <c r="G564" i="1"/>
  <c r="G563" i="1" s="1"/>
  <c r="H567" i="1"/>
  <c r="I567" i="1"/>
  <c r="J567" i="1" s="1"/>
  <c r="G567" i="1"/>
  <c r="H559" i="1"/>
  <c r="J559" i="1" s="1"/>
  <c r="G559" i="1"/>
  <c r="I540" i="1" l="1"/>
  <c r="J541" i="1"/>
  <c r="I563" i="1"/>
  <c r="J563" i="1" s="1"/>
  <c r="J564" i="1"/>
  <c r="H516" i="1"/>
  <c r="H515" i="1" s="1"/>
  <c r="G245" i="2"/>
  <c r="I497" i="1"/>
  <c r="J497" i="1" s="1"/>
  <c r="J498" i="1"/>
  <c r="I517" i="1"/>
  <c r="J518" i="1"/>
  <c r="F71" i="2"/>
  <c r="H71" i="2"/>
  <c r="I71" i="2" s="1"/>
  <c r="G71" i="2"/>
  <c r="F245" i="2"/>
  <c r="I459" i="1"/>
  <c r="H459" i="1"/>
  <c r="H458" i="1" s="1"/>
  <c r="G459" i="1"/>
  <c r="G458" i="1" s="1"/>
  <c r="H644" i="1"/>
  <c r="H643" i="1" s="1"/>
  <c r="G33" i="2" s="1"/>
  <c r="I644" i="1"/>
  <c r="G644" i="1"/>
  <c r="G643" i="1" s="1"/>
  <c r="F33" i="2" s="1"/>
  <c r="H641" i="1"/>
  <c r="H640" i="1" s="1"/>
  <c r="G32" i="2" s="1"/>
  <c r="I641" i="1"/>
  <c r="G641" i="1"/>
  <c r="G640" i="1" s="1"/>
  <c r="F32" i="2" s="1"/>
  <c r="G633" i="1"/>
  <c r="G605" i="1"/>
  <c r="G360" i="1"/>
  <c r="G321" i="1"/>
  <c r="G308" i="1"/>
  <c r="G306" i="1"/>
  <c r="G295" i="1"/>
  <c r="G293" i="1"/>
  <c r="G260" i="1"/>
  <c r="G195" i="1"/>
  <c r="G193" i="1"/>
  <c r="I125" i="1"/>
  <c r="H125" i="1"/>
  <c r="H124" i="1" s="1"/>
  <c r="G125" i="1"/>
  <c r="G124" i="1" s="1"/>
  <c r="G110" i="1"/>
  <c r="I93" i="1"/>
  <c r="H93" i="1"/>
  <c r="H92" i="1" s="1"/>
  <c r="G12" i="2" s="1"/>
  <c r="G93" i="1"/>
  <c r="G92" i="1" s="1"/>
  <c r="F12" i="2" s="1"/>
  <c r="I46" i="1"/>
  <c r="H46" i="1"/>
  <c r="H45" i="1" s="1"/>
  <c r="G46" i="1"/>
  <c r="G45" i="1" s="1"/>
  <c r="G53" i="1"/>
  <c r="G52" i="1" s="1"/>
  <c r="G51" i="1" s="1"/>
  <c r="G50" i="1" s="1"/>
  <c r="G49" i="1" s="1"/>
  <c r="H53" i="1"/>
  <c r="H52" i="1" s="1"/>
  <c r="H51" i="1" s="1"/>
  <c r="H50" i="1" s="1"/>
  <c r="H49" i="1" s="1"/>
  <c r="I53" i="1"/>
  <c r="I52" i="1" l="1"/>
  <c r="J53" i="1"/>
  <c r="I124" i="1"/>
  <c r="J124" i="1" s="1"/>
  <c r="J125" i="1"/>
  <c r="I458" i="1"/>
  <c r="J458" i="1" s="1"/>
  <c r="J459" i="1"/>
  <c r="I92" i="1"/>
  <c r="J93" i="1"/>
  <c r="I643" i="1"/>
  <c r="J644" i="1"/>
  <c r="I45" i="1"/>
  <c r="J45" i="1" s="1"/>
  <c r="J46" i="1"/>
  <c r="I640" i="1"/>
  <c r="J641" i="1"/>
  <c r="I516" i="1"/>
  <c r="J517" i="1"/>
  <c r="H245" i="2"/>
  <c r="I245" i="2" s="1"/>
  <c r="H84" i="2"/>
  <c r="I84" i="2" s="1"/>
  <c r="J540" i="1"/>
  <c r="G123" i="1"/>
  <c r="G122" i="1" s="1"/>
  <c r="G117" i="1" s="1"/>
  <c r="F125" i="2"/>
  <c r="H457" i="1"/>
  <c r="H456" i="1" s="1"/>
  <c r="G244" i="2"/>
  <c r="G243" i="2" s="1"/>
  <c r="H123" i="1"/>
  <c r="H122" i="1" s="1"/>
  <c r="H117" i="1" s="1"/>
  <c r="G125" i="2"/>
  <c r="H244" i="2"/>
  <c r="H125" i="2"/>
  <c r="I125" i="2" s="1"/>
  <c r="G457" i="1"/>
  <c r="G456" i="1" s="1"/>
  <c r="F244" i="2"/>
  <c r="F243" i="2" s="1"/>
  <c r="H149" i="2"/>
  <c r="G44" i="1"/>
  <c r="G43" i="1" s="1"/>
  <c r="G42" i="1" s="1"/>
  <c r="G41" i="1" s="1"/>
  <c r="F149" i="2"/>
  <c r="H44" i="1"/>
  <c r="H43" i="1" s="1"/>
  <c r="H42" i="1" s="1"/>
  <c r="H41" i="1" s="1"/>
  <c r="G149" i="2"/>
  <c r="I91" i="1"/>
  <c r="H91" i="1"/>
  <c r="H90" i="1" s="1"/>
  <c r="H89" i="1" s="1"/>
  <c r="E52" i="3" s="1"/>
  <c r="G91" i="1"/>
  <c r="G90" i="1" s="1"/>
  <c r="G89" i="1" s="1"/>
  <c r="I149" i="2" l="1"/>
  <c r="H32" i="2"/>
  <c r="I32" i="2" s="1"/>
  <c r="J640" i="1"/>
  <c r="H33" i="2"/>
  <c r="I33" i="2" s="1"/>
  <c r="J643" i="1"/>
  <c r="I51" i="1"/>
  <c r="J52" i="1"/>
  <c r="I44" i="1"/>
  <c r="I123" i="1"/>
  <c r="H243" i="2"/>
  <c r="I243" i="2" s="1"/>
  <c r="I244" i="2"/>
  <c r="I515" i="1"/>
  <c r="J515" i="1" s="1"/>
  <c r="J516" i="1"/>
  <c r="H12" i="2"/>
  <c r="I12" i="2" s="1"/>
  <c r="J92" i="1"/>
  <c r="I90" i="1"/>
  <c r="J91" i="1"/>
  <c r="I457" i="1"/>
  <c r="G88" i="1"/>
  <c r="D52" i="3"/>
  <c r="H88" i="1"/>
  <c r="I89" i="1" l="1"/>
  <c r="J90" i="1"/>
  <c r="I43" i="1"/>
  <c r="J44" i="1"/>
  <c r="I456" i="1"/>
  <c r="J456" i="1" s="1"/>
  <c r="J457" i="1"/>
  <c r="I50" i="1"/>
  <c r="J51" i="1"/>
  <c r="I122" i="1"/>
  <c r="J123" i="1"/>
  <c r="G222" i="1"/>
  <c r="I117" i="1" l="1"/>
  <c r="J117" i="1" s="1"/>
  <c r="J122" i="1"/>
  <c r="I49" i="1"/>
  <c r="J49" i="1" s="1"/>
  <c r="J50" i="1"/>
  <c r="I42" i="1"/>
  <c r="J43" i="1"/>
  <c r="F52" i="3"/>
  <c r="G52" i="3" s="1"/>
  <c r="J89" i="1"/>
  <c r="I88" i="1"/>
  <c r="J88" i="1" s="1"/>
  <c r="G475" i="1"/>
  <c r="I41" i="1" l="1"/>
  <c r="J41" i="1" s="1"/>
  <c r="J42" i="1"/>
  <c r="H73" i="2"/>
  <c r="I73" i="2" s="1"/>
  <c r="H64" i="2"/>
  <c r="G64" i="2"/>
  <c r="C64" i="2"/>
  <c r="I569" i="1"/>
  <c r="H569" i="1"/>
  <c r="H566" i="1" s="1"/>
  <c r="G569" i="1"/>
  <c r="G566" i="1" s="1"/>
  <c r="G474" i="1"/>
  <c r="G473" i="1" s="1"/>
  <c r="I64" i="2" l="1"/>
  <c r="I566" i="1"/>
  <c r="J566" i="1" s="1"/>
  <c r="J569" i="1"/>
  <c r="F64" i="2"/>
  <c r="F73" i="2"/>
  <c r="G358" i="1"/>
  <c r="G338" i="1"/>
  <c r="G230" i="1"/>
  <c r="G390" i="1"/>
  <c r="G170" i="1"/>
  <c r="G33" i="1"/>
  <c r="G333" i="1"/>
  <c r="G153" i="1"/>
  <c r="G165" i="1"/>
  <c r="G200" i="2" l="1"/>
  <c r="H200" i="2"/>
  <c r="I200" i="2" s="1"/>
  <c r="C200" i="2"/>
  <c r="B200" i="2"/>
  <c r="H298" i="1"/>
  <c r="H297" i="1" s="1"/>
  <c r="H296" i="1" s="1"/>
  <c r="E35" i="3" s="1"/>
  <c r="I298" i="1"/>
  <c r="G298" i="1"/>
  <c r="G297" i="1" s="1"/>
  <c r="G296" i="1" s="1"/>
  <c r="I297" i="1" l="1"/>
  <c r="J298" i="1"/>
  <c r="G636" i="1"/>
  <c r="I296" i="1" l="1"/>
  <c r="J297" i="1"/>
  <c r="G235" i="2"/>
  <c r="H235" i="2"/>
  <c r="F235" i="2"/>
  <c r="G234" i="2"/>
  <c r="H234" i="2"/>
  <c r="I234" i="2" s="1"/>
  <c r="F234" i="2"/>
  <c r="C234" i="2"/>
  <c r="B234" i="2"/>
  <c r="H221" i="1"/>
  <c r="I221" i="1"/>
  <c r="G221" i="1"/>
  <c r="H223" i="1"/>
  <c r="I223" i="1"/>
  <c r="J223" i="1" s="1"/>
  <c r="G223" i="1"/>
  <c r="J221" i="1" l="1"/>
  <c r="I235" i="2"/>
  <c r="F35" i="3"/>
  <c r="G35" i="3" s="1"/>
  <c r="J296" i="1"/>
  <c r="I220" i="1"/>
  <c r="G220" i="1"/>
  <c r="G219" i="1" s="1"/>
  <c r="G218" i="1" s="1"/>
  <c r="G217" i="1" s="1"/>
  <c r="H220" i="1"/>
  <c r="H219" i="1" s="1"/>
  <c r="H218" i="1" s="1"/>
  <c r="H217" i="1" s="1"/>
  <c r="E25" i="3" s="1"/>
  <c r="G75" i="2"/>
  <c r="H75" i="2"/>
  <c r="F75" i="2"/>
  <c r="C75" i="2"/>
  <c r="B75" i="2"/>
  <c r="C51" i="2"/>
  <c r="H477" i="1"/>
  <c r="H476" i="1" s="1"/>
  <c r="I477" i="1"/>
  <c r="G477" i="1"/>
  <c r="G476" i="1" s="1"/>
  <c r="I75" i="2" l="1"/>
  <c r="I476" i="1"/>
  <c r="J476" i="1" s="1"/>
  <c r="J477" i="1"/>
  <c r="I219" i="1"/>
  <c r="J220" i="1"/>
  <c r="I439" i="1"/>
  <c r="H51" i="2"/>
  <c r="G51" i="2"/>
  <c r="F51" i="2"/>
  <c r="I51" i="2" l="1"/>
  <c r="I218" i="1"/>
  <c r="J219" i="1"/>
  <c r="I438" i="1"/>
  <c r="J438" i="1" s="1"/>
  <c r="G439" i="1"/>
  <c r="G438" i="1" s="1"/>
  <c r="H439" i="1"/>
  <c r="H438" i="1" s="1"/>
  <c r="I217" i="1" l="1"/>
  <c r="J218" i="1"/>
  <c r="J439" i="1"/>
  <c r="G490" i="1"/>
  <c r="G40" i="2"/>
  <c r="H40" i="2"/>
  <c r="I40" i="2" s="1"/>
  <c r="F40" i="2"/>
  <c r="C40" i="2"/>
  <c r="H635" i="1"/>
  <c r="H634" i="1" s="1"/>
  <c r="I635" i="1"/>
  <c r="G635" i="1"/>
  <c r="G634" i="1" s="1"/>
  <c r="I639" i="1"/>
  <c r="J639" i="1" s="1"/>
  <c r="H639" i="1"/>
  <c r="G639" i="1"/>
  <c r="I598" i="1"/>
  <c r="H598" i="1"/>
  <c r="G598" i="1"/>
  <c r="G698" i="1"/>
  <c r="G216" i="2"/>
  <c r="H216" i="2"/>
  <c r="I216" i="2" s="1"/>
  <c r="F216" i="2"/>
  <c r="C216" i="2"/>
  <c r="I687" i="1"/>
  <c r="H687" i="1"/>
  <c r="H686" i="1" s="1"/>
  <c r="G687" i="1"/>
  <c r="G686" i="1" s="1"/>
  <c r="G198" i="2"/>
  <c r="H198" i="2"/>
  <c r="F198" i="2"/>
  <c r="G197" i="2"/>
  <c r="H197" i="2"/>
  <c r="I197" i="2" s="1"/>
  <c r="F197" i="2"/>
  <c r="C197" i="2"/>
  <c r="F182" i="2"/>
  <c r="F181" i="2" s="1"/>
  <c r="C182" i="2"/>
  <c r="G167" i="2"/>
  <c r="H167" i="2"/>
  <c r="I167" i="2" s="1"/>
  <c r="F167" i="2"/>
  <c r="G169" i="2"/>
  <c r="H169" i="2"/>
  <c r="I169" i="2" s="1"/>
  <c r="F169" i="2"/>
  <c r="H136" i="2"/>
  <c r="G137" i="2"/>
  <c r="F137" i="2"/>
  <c r="F136" i="2" s="1"/>
  <c r="C137" i="2"/>
  <c r="H264" i="1"/>
  <c r="H263" i="1" s="1"/>
  <c r="H262" i="1" s="1"/>
  <c r="H261" i="1" s="1"/>
  <c r="I264" i="1"/>
  <c r="G264" i="1"/>
  <c r="G263" i="1" s="1"/>
  <c r="H257" i="1"/>
  <c r="J257" i="1" s="1"/>
  <c r="G257" i="1"/>
  <c r="I198" i="2" l="1"/>
  <c r="I686" i="1"/>
  <c r="J686" i="1" s="1"/>
  <c r="J687" i="1"/>
  <c r="J598" i="1"/>
  <c r="G136" i="2"/>
  <c r="I136" i="2" s="1"/>
  <c r="I137" i="2"/>
  <c r="I634" i="1"/>
  <c r="J634" i="1" s="1"/>
  <c r="J635" i="1"/>
  <c r="I263" i="1"/>
  <c r="J264" i="1"/>
  <c r="F25" i="3"/>
  <c r="J217" i="1"/>
  <c r="H196" i="2"/>
  <c r="G196" i="2"/>
  <c r="G195" i="2" s="1"/>
  <c r="F196" i="2"/>
  <c r="F195" i="2" s="1"/>
  <c r="G262" i="1"/>
  <c r="G261" i="1" s="1"/>
  <c r="H244" i="1"/>
  <c r="H241" i="1" s="1"/>
  <c r="I244" i="1"/>
  <c r="G244" i="1"/>
  <c r="G241" i="1" s="1"/>
  <c r="H239" i="1"/>
  <c r="I239" i="1"/>
  <c r="J239" i="1" s="1"/>
  <c r="G239" i="1"/>
  <c r="H166" i="1"/>
  <c r="I166" i="1"/>
  <c r="G65" i="1"/>
  <c r="G64" i="1" s="1"/>
  <c r="G63" i="1" s="1"/>
  <c r="G62" i="1" s="1"/>
  <c r="G61" i="1" s="1"/>
  <c r="C162" i="2"/>
  <c r="G122" i="2"/>
  <c r="H122" i="2"/>
  <c r="F122" i="2"/>
  <c r="G25" i="3" l="1"/>
  <c r="I122" i="2"/>
  <c r="J166" i="1"/>
  <c r="I262" i="1"/>
  <c r="J263" i="1"/>
  <c r="I241" i="1"/>
  <c r="J241" i="1" s="1"/>
  <c r="J244" i="1"/>
  <c r="H195" i="2"/>
  <c r="I195" i="2" s="1"/>
  <c r="I196" i="2"/>
  <c r="G60" i="2"/>
  <c r="H60" i="2"/>
  <c r="F60" i="2"/>
  <c r="E60" i="2"/>
  <c r="D60" i="2"/>
  <c r="C60" i="2"/>
  <c r="B60" i="2"/>
  <c r="G50" i="2"/>
  <c r="H50" i="2"/>
  <c r="F50" i="2"/>
  <c r="E50" i="2"/>
  <c r="D50" i="2"/>
  <c r="C50" i="2"/>
  <c r="B50" i="2"/>
  <c r="I60" i="2" l="1"/>
  <c r="I261" i="1"/>
  <c r="J261" i="1" s="1"/>
  <c r="J262" i="1"/>
  <c r="I50" i="2"/>
  <c r="H486" i="1"/>
  <c r="H485" i="1" s="1"/>
  <c r="I486" i="1"/>
  <c r="G486" i="1"/>
  <c r="G485" i="1" s="1"/>
  <c r="H442" i="1"/>
  <c r="H441" i="1" s="1"/>
  <c r="I442" i="1"/>
  <c r="G442" i="1"/>
  <c r="G441" i="1" s="1"/>
  <c r="I441" i="1" l="1"/>
  <c r="J441" i="1" s="1"/>
  <c r="J442" i="1"/>
  <c r="I485" i="1"/>
  <c r="J485" i="1" s="1"/>
  <c r="J486" i="1"/>
  <c r="D35" i="3"/>
  <c r="C62" i="2"/>
  <c r="F142" i="1" l="1"/>
  <c r="H62" i="2" l="1"/>
  <c r="G62" i="2"/>
  <c r="F62" i="2"/>
  <c r="G191" i="2"/>
  <c r="H191" i="2"/>
  <c r="F191" i="2"/>
  <c r="G190" i="2"/>
  <c r="H190" i="2"/>
  <c r="I190" i="2" s="1"/>
  <c r="F190" i="2"/>
  <c r="G159" i="2"/>
  <c r="H159" i="2"/>
  <c r="I159" i="2" s="1"/>
  <c r="F159" i="2"/>
  <c r="D159" i="2"/>
  <c r="C159" i="2"/>
  <c r="B159" i="2"/>
  <c r="I191" i="2" l="1"/>
  <c r="I62" i="2"/>
  <c r="H357" i="1"/>
  <c r="I357" i="1"/>
  <c r="J357" i="1" s="1"/>
  <c r="G357" i="1"/>
  <c r="H359" i="1"/>
  <c r="I359" i="1"/>
  <c r="J359" i="1" s="1"/>
  <c r="G359" i="1"/>
  <c r="H259" i="1"/>
  <c r="H258" i="1" s="1"/>
  <c r="I259" i="1"/>
  <c r="G259" i="1"/>
  <c r="G258" i="1" s="1"/>
  <c r="I258" i="1" l="1"/>
  <c r="J258" i="1" s="1"/>
  <c r="J259" i="1"/>
  <c r="H356" i="1"/>
  <c r="H355" i="1" s="1"/>
  <c r="H354" i="1" s="1"/>
  <c r="I356" i="1"/>
  <c r="G356" i="1"/>
  <c r="G355" i="1" s="1"/>
  <c r="G354" i="1" s="1"/>
  <c r="H495" i="1"/>
  <c r="H494" i="1" s="1"/>
  <c r="I495" i="1"/>
  <c r="G495" i="1"/>
  <c r="G494" i="1" s="1"/>
  <c r="I355" i="1" l="1"/>
  <c r="J356" i="1"/>
  <c r="I494" i="1"/>
  <c r="J494" i="1" s="1"/>
  <c r="J495" i="1"/>
  <c r="I180" i="1"/>
  <c r="H219" i="2"/>
  <c r="H220" i="2"/>
  <c r="H221" i="2"/>
  <c r="H222" i="2"/>
  <c r="H223" i="2"/>
  <c r="H224" i="2"/>
  <c r="H225" i="2"/>
  <c r="H226" i="2"/>
  <c r="H227" i="2"/>
  <c r="H228" i="2"/>
  <c r="H229" i="2"/>
  <c r="H230" i="2"/>
  <c r="H233" i="2"/>
  <c r="H236" i="2"/>
  <c r="H237" i="2"/>
  <c r="H238" i="2"/>
  <c r="H239" i="2"/>
  <c r="H240" i="2"/>
  <c r="H241" i="2"/>
  <c r="I179" i="1" l="1"/>
  <c r="I354" i="1"/>
  <c r="J354" i="1" s="1"/>
  <c r="J355" i="1"/>
  <c r="H218" i="2"/>
  <c r="H217" i="2" l="1"/>
  <c r="G54" i="2"/>
  <c r="H54" i="2"/>
  <c r="F54" i="2"/>
  <c r="C54" i="2"/>
  <c r="G471" i="1"/>
  <c r="G470" i="1" s="1"/>
  <c r="G31" i="2"/>
  <c r="H31" i="2"/>
  <c r="F31" i="2"/>
  <c r="C31" i="2"/>
  <c r="G186" i="2"/>
  <c r="H186" i="2"/>
  <c r="I186" i="2" s="1"/>
  <c r="F186" i="2"/>
  <c r="H588" i="1"/>
  <c r="H587" i="1" s="1"/>
  <c r="I588" i="1"/>
  <c r="G588" i="1"/>
  <c r="G587" i="1" s="1"/>
  <c r="H276" i="1"/>
  <c r="I276" i="1"/>
  <c r="J276" i="1" s="1"/>
  <c r="G276" i="1"/>
  <c r="C37" i="2"/>
  <c r="H632" i="1"/>
  <c r="H631" i="1" s="1"/>
  <c r="G37" i="2" s="1"/>
  <c r="I632" i="1"/>
  <c r="G632" i="1"/>
  <c r="G631" i="1" s="1"/>
  <c r="F37" i="2" s="1"/>
  <c r="I31" i="2" l="1"/>
  <c r="I631" i="1"/>
  <c r="J632" i="1"/>
  <c r="I587" i="1"/>
  <c r="J587" i="1" s="1"/>
  <c r="J588" i="1"/>
  <c r="I54" i="2"/>
  <c r="G42" i="2"/>
  <c r="G41" i="2" s="1"/>
  <c r="H42" i="2"/>
  <c r="F42" i="2"/>
  <c r="F41" i="2" s="1"/>
  <c r="C42" i="2"/>
  <c r="H658" i="1"/>
  <c r="H657" i="1" s="1"/>
  <c r="H656" i="1" s="1"/>
  <c r="I658" i="1"/>
  <c r="G658" i="1"/>
  <c r="G657" i="1" s="1"/>
  <c r="G656" i="1" s="1"/>
  <c r="I657" i="1" l="1"/>
  <c r="J658" i="1"/>
  <c r="H41" i="2"/>
  <c r="I41" i="2" s="1"/>
  <c r="I42" i="2"/>
  <c r="H37" i="2"/>
  <c r="I37" i="2" s="1"/>
  <c r="J631" i="1"/>
  <c r="G175" i="2"/>
  <c r="H175" i="2"/>
  <c r="I175" i="2" s="1"/>
  <c r="F175" i="2"/>
  <c r="C175" i="2"/>
  <c r="I656" i="1" l="1"/>
  <c r="J656" i="1" s="1"/>
  <c r="J657" i="1"/>
  <c r="C173" i="2"/>
  <c r="C61" i="2"/>
  <c r="G513" i="1" l="1"/>
  <c r="G512" i="1" s="1"/>
  <c r="F61" i="2" s="1"/>
  <c r="H513" i="1"/>
  <c r="H512" i="1" s="1"/>
  <c r="G61" i="2" s="1"/>
  <c r="I513" i="1"/>
  <c r="I512" i="1" l="1"/>
  <c r="J513" i="1"/>
  <c r="G406" i="1"/>
  <c r="H406" i="1"/>
  <c r="I406" i="1"/>
  <c r="H408" i="1"/>
  <c r="I408" i="1"/>
  <c r="J408" i="1" s="1"/>
  <c r="J406" i="1" l="1"/>
  <c r="H61" i="2"/>
  <c r="I61" i="2" s="1"/>
  <c r="J512" i="1"/>
  <c r="I405" i="1"/>
  <c r="J405" i="1" s="1"/>
  <c r="H405" i="1"/>
  <c r="G239" i="2"/>
  <c r="I239" i="2" s="1"/>
  <c r="F239" i="2"/>
  <c r="G238" i="2"/>
  <c r="I238" i="2" s="1"/>
  <c r="F238" i="2"/>
  <c r="C238" i="2"/>
  <c r="H339" i="1"/>
  <c r="I339" i="1"/>
  <c r="J339" i="1" s="1"/>
  <c r="G339" i="1"/>
  <c r="H337" i="1"/>
  <c r="I337" i="1"/>
  <c r="J337" i="1" s="1"/>
  <c r="G337" i="1"/>
  <c r="G336" i="1" l="1"/>
  <c r="I336" i="1"/>
  <c r="H336" i="1"/>
  <c r="J336" i="1" l="1"/>
  <c r="G528" i="1"/>
  <c r="G527" i="1" s="1"/>
  <c r="H528" i="1"/>
  <c r="H527" i="1" s="1"/>
  <c r="I528" i="1"/>
  <c r="G531" i="1"/>
  <c r="H531" i="1"/>
  <c r="I531" i="1"/>
  <c r="J531" i="1" s="1"/>
  <c r="H535" i="1"/>
  <c r="I535" i="1"/>
  <c r="J528" i="1" l="1"/>
  <c r="I527" i="1"/>
  <c r="H526" i="1"/>
  <c r="J535" i="1"/>
  <c r="H530" i="1"/>
  <c r="I530" i="1"/>
  <c r="J530" i="1" s="1"/>
  <c r="I549" i="1"/>
  <c r="I547" i="1"/>
  <c r="I465" i="1"/>
  <c r="I526" i="1" l="1"/>
  <c r="J526" i="1" s="1"/>
  <c r="J527" i="1"/>
  <c r="I464" i="1"/>
  <c r="I546" i="1"/>
  <c r="I629" i="1"/>
  <c r="I448" i="1"/>
  <c r="I445" i="1"/>
  <c r="I436" i="1"/>
  <c r="I352" i="1"/>
  <c r="I350" i="1"/>
  <c r="I347" i="1"/>
  <c r="I332" i="1"/>
  <c r="I334" i="1"/>
  <c r="I326" i="1"/>
  <c r="I320" i="1"/>
  <c r="I314" i="1"/>
  <c r="I307" i="1"/>
  <c r="I294" i="1"/>
  <c r="I292" i="1"/>
  <c r="I285" i="1"/>
  <c r="I282" i="1"/>
  <c r="I274" i="1"/>
  <c r="I256" i="1"/>
  <c r="I250" i="1"/>
  <c r="I237" i="1"/>
  <c r="I231" i="1"/>
  <c r="I229" i="1"/>
  <c r="I214" i="1"/>
  <c r="I211" i="1"/>
  <c r="I208" i="1"/>
  <c r="I201" i="1"/>
  <c r="I192" i="1"/>
  <c r="I194" i="1"/>
  <c r="I183" i="1"/>
  <c r="I188" i="1"/>
  <c r="I177" i="1"/>
  <c r="I174" i="1"/>
  <c r="I171" i="1"/>
  <c r="I169" i="1"/>
  <c r="I164" i="1"/>
  <c r="I158" i="1"/>
  <c r="I152" i="1"/>
  <c r="I146" i="1"/>
  <c r="I143" i="1"/>
  <c r="I141" i="1"/>
  <c r="I157" i="1" l="1"/>
  <c r="I173" i="1"/>
  <c r="I210" i="1"/>
  <c r="I236" i="1"/>
  <c r="I281" i="1"/>
  <c r="I628" i="1"/>
  <c r="I176" i="1"/>
  <c r="I249" i="1"/>
  <c r="I284" i="1"/>
  <c r="I435" i="1"/>
  <c r="I545" i="1"/>
  <c r="I213" i="1"/>
  <c r="I187" i="1"/>
  <c r="I200" i="1"/>
  <c r="I255" i="1"/>
  <c r="I319" i="1"/>
  <c r="I346" i="1"/>
  <c r="I444" i="1"/>
  <c r="I145" i="1"/>
  <c r="I151" i="1"/>
  <c r="I182" i="1"/>
  <c r="I207" i="1"/>
  <c r="I325" i="1"/>
  <c r="I447" i="1"/>
  <c r="I248" i="1"/>
  <c r="I247" i="1"/>
  <c r="I235" i="1"/>
  <c r="I254" i="1"/>
  <c r="I273" i="1"/>
  <c r="I313" i="1"/>
  <c r="I191" i="1"/>
  <c r="I331" i="1"/>
  <c r="I349" i="1"/>
  <c r="I304" i="1"/>
  <c r="I291" i="1"/>
  <c r="I280" i="1"/>
  <c r="I228" i="1"/>
  <c r="I168" i="1"/>
  <c r="I163" i="1"/>
  <c r="I156" i="1"/>
  <c r="I155" i="1"/>
  <c r="I150" i="1"/>
  <c r="I149" i="1"/>
  <c r="I138" i="1"/>
  <c r="I148" i="1" l="1"/>
  <c r="I279" i="1"/>
  <c r="I330" i="1"/>
  <c r="I253" i="1"/>
  <c r="I324" i="1"/>
  <c r="I190" i="1"/>
  <c r="I318" i="1"/>
  <c r="I186" i="1"/>
  <c r="I137" i="1"/>
  <c r="I290" i="1"/>
  <c r="I234" i="1"/>
  <c r="I154" i="1"/>
  <c r="I206" i="1"/>
  <c r="I303" i="1"/>
  <c r="I227" i="1"/>
  <c r="I345" i="1"/>
  <c r="I272" i="1"/>
  <c r="I199" i="1"/>
  <c r="I544" i="1"/>
  <c r="I312" i="1"/>
  <c r="F46" i="3"/>
  <c r="I246" i="1"/>
  <c r="I136" i="1"/>
  <c r="I162" i="1"/>
  <c r="I233" i="1"/>
  <c r="I329" i="1"/>
  <c r="I135" i="1" l="1"/>
  <c r="I311" i="1"/>
  <c r="I344" i="1"/>
  <c r="I289" i="1"/>
  <c r="I185" i="1"/>
  <c r="I252" i="1"/>
  <c r="I278" i="1"/>
  <c r="F27" i="3"/>
  <c r="I302" i="1"/>
  <c r="I543" i="1"/>
  <c r="I271" i="1"/>
  <c r="I226" i="1"/>
  <c r="I198" i="1"/>
  <c r="I323" i="1"/>
  <c r="I161" i="1"/>
  <c r="I317" i="1"/>
  <c r="I577" i="1"/>
  <c r="I575" i="1"/>
  <c r="I561" i="1"/>
  <c r="I558" i="1"/>
  <c r="I524" i="1"/>
  <c r="I492" i="1"/>
  <c r="I489" i="1"/>
  <c r="I483" i="1"/>
  <c r="I480" i="1"/>
  <c r="I451" i="1"/>
  <c r="I669" i="1"/>
  <c r="I665" i="1"/>
  <c r="I654" i="1"/>
  <c r="I652" i="1"/>
  <c r="I650" i="1"/>
  <c r="I638" i="1"/>
  <c r="I625" i="1"/>
  <c r="I622" i="1"/>
  <c r="I618" i="1"/>
  <c r="I615" i="1"/>
  <c r="I608" i="1"/>
  <c r="I604" i="1"/>
  <c r="I601" i="1"/>
  <c r="I597" i="1"/>
  <c r="I594" i="1"/>
  <c r="I585" i="1"/>
  <c r="I596" i="1" l="1"/>
  <c r="I614" i="1"/>
  <c r="I637" i="1"/>
  <c r="I664" i="1"/>
  <c r="I482" i="1"/>
  <c r="I557" i="1"/>
  <c r="I316" i="1"/>
  <c r="I301" i="1"/>
  <c r="F32" i="3"/>
  <c r="I269" i="1"/>
  <c r="I668" i="1"/>
  <c r="I488" i="1"/>
  <c r="I560" i="1"/>
  <c r="I197" i="1"/>
  <c r="I270" i="1"/>
  <c r="F15" i="3"/>
  <c r="I600" i="1"/>
  <c r="I584" i="1"/>
  <c r="I603" i="1"/>
  <c r="I621" i="1"/>
  <c r="I450" i="1"/>
  <c r="I491" i="1"/>
  <c r="I322" i="1"/>
  <c r="F29" i="3"/>
  <c r="I288" i="1"/>
  <c r="I617" i="1"/>
  <c r="I593" i="1"/>
  <c r="I607" i="1"/>
  <c r="I624" i="1"/>
  <c r="I620" i="1" s="1"/>
  <c r="I479" i="1"/>
  <c r="I523" i="1"/>
  <c r="I160" i="1"/>
  <c r="I225" i="1"/>
  <c r="F41" i="3"/>
  <c r="I310" i="1"/>
  <c r="I328" i="1"/>
  <c r="I592" i="1"/>
  <c r="I599" i="1"/>
  <c r="I574" i="1"/>
  <c r="I649" i="1"/>
  <c r="F26" i="3" l="1"/>
  <c r="I216" i="1"/>
  <c r="I463" i="1"/>
  <c r="I434" i="1"/>
  <c r="I196" i="1"/>
  <c r="I573" i="1"/>
  <c r="I606" i="1"/>
  <c r="I300" i="1"/>
  <c r="I556" i="1"/>
  <c r="I663" i="1"/>
  <c r="I613" i="1"/>
  <c r="I522" i="1"/>
  <c r="F31" i="3"/>
  <c r="F30" i="3" s="1"/>
  <c r="I667" i="1"/>
  <c r="I648" i="1"/>
  <c r="F49" i="3"/>
  <c r="I287" i="1"/>
  <c r="F34" i="3"/>
  <c r="I583" i="1"/>
  <c r="I309" i="1"/>
  <c r="I627" i="1"/>
  <c r="I591" i="1"/>
  <c r="F33" i="3" l="1"/>
  <c r="I555" i="1"/>
  <c r="I433" i="1"/>
  <c r="I590" i="1"/>
  <c r="I647" i="1"/>
  <c r="I521" i="1"/>
  <c r="I582" i="1"/>
  <c r="I662" i="1"/>
  <c r="I572" i="1"/>
  <c r="I462" i="1"/>
  <c r="I612" i="1"/>
  <c r="I133" i="1"/>
  <c r="I109" i="1"/>
  <c r="I115" i="1"/>
  <c r="I106" i="1"/>
  <c r="I99" i="1"/>
  <c r="I86" i="1"/>
  <c r="I59" i="1"/>
  <c r="I98" i="1" l="1"/>
  <c r="I132" i="1"/>
  <c r="I611" i="1"/>
  <c r="I571" i="1"/>
  <c r="I581" i="1"/>
  <c r="I554" i="1"/>
  <c r="I105" i="1"/>
  <c r="I646" i="1"/>
  <c r="I85" i="1"/>
  <c r="I58" i="1"/>
  <c r="I114" i="1"/>
  <c r="I461" i="1"/>
  <c r="I661" i="1"/>
  <c r="I432" i="1"/>
  <c r="I108" i="1"/>
  <c r="I520" i="1"/>
  <c r="I104" i="1"/>
  <c r="F44" i="3" l="1"/>
  <c r="I431" i="1"/>
  <c r="F39" i="3"/>
  <c r="F38" i="3"/>
  <c r="I57" i="1"/>
  <c r="I553" i="1"/>
  <c r="F47" i="3"/>
  <c r="F48" i="3"/>
  <c r="I131" i="1"/>
  <c r="F37" i="3"/>
  <c r="I103" i="1"/>
  <c r="F51" i="3"/>
  <c r="I660" i="1"/>
  <c r="I113" i="1"/>
  <c r="I84" i="1"/>
  <c r="I580" i="1"/>
  <c r="F43" i="3"/>
  <c r="I610" i="1"/>
  <c r="I97" i="1"/>
  <c r="I39" i="1"/>
  <c r="I32" i="1"/>
  <c r="I26" i="1"/>
  <c r="G22" i="1"/>
  <c r="H22" i="1"/>
  <c r="I22" i="1"/>
  <c r="I20" i="1"/>
  <c r="I18" i="1"/>
  <c r="I699" i="1"/>
  <c r="I697" i="1"/>
  <c r="I695" i="1"/>
  <c r="I702" i="1"/>
  <c r="I708" i="1"/>
  <c r="I705" i="1"/>
  <c r="I684" i="1"/>
  <c r="I681" i="1"/>
  <c r="I679" i="1"/>
  <c r="I677" i="1"/>
  <c r="I428" i="1"/>
  <c r="I425" i="1"/>
  <c r="I420" i="1"/>
  <c r="I418" i="1"/>
  <c r="I416" i="1"/>
  <c r="I399" i="1"/>
  <c r="I403" i="1"/>
  <c r="I401" i="1"/>
  <c r="I382" i="1"/>
  <c r="I384" i="1"/>
  <c r="I386" i="1"/>
  <c r="I389" i="1"/>
  <c r="I391" i="1"/>
  <c r="I369" i="1"/>
  <c r="I371" i="1"/>
  <c r="I367" i="1"/>
  <c r="I374" i="1"/>
  <c r="H258" i="2"/>
  <c r="H259" i="2"/>
  <c r="H260" i="2"/>
  <c r="H247" i="2"/>
  <c r="H248" i="2"/>
  <c r="H249" i="2"/>
  <c r="H251" i="2"/>
  <c r="H252" i="2"/>
  <c r="H253" i="2"/>
  <c r="H255" i="2"/>
  <c r="H212" i="2"/>
  <c r="H213" i="2"/>
  <c r="H214" i="2"/>
  <c r="H215" i="2"/>
  <c r="H206" i="2"/>
  <c r="H207" i="2"/>
  <c r="H208" i="2"/>
  <c r="H209" i="2"/>
  <c r="H193" i="2"/>
  <c r="H194" i="2"/>
  <c r="H204" i="2"/>
  <c r="H205" i="2"/>
  <c r="H185" i="2"/>
  <c r="H187" i="2"/>
  <c r="H189" i="2"/>
  <c r="H180" i="2"/>
  <c r="H173" i="2"/>
  <c r="H166" i="2"/>
  <c r="H168" i="2"/>
  <c r="H162" i="2"/>
  <c r="H163" i="2"/>
  <c r="H158" i="2"/>
  <c r="H150" i="2"/>
  <c r="H153" i="2"/>
  <c r="H154" i="2"/>
  <c r="H155" i="2"/>
  <c r="H145" i="2"/>
  <c r="H146" i="2"/>
  <c r="H147" i="2"/>
  <c r="H148" i="2"/>
  <c r="H141" i="2"/>
  <c r="H142" i="2"/>
  <c r="H132" i="2"/>
  <c r="H130" i="2"/>
  <c r="H129" i="2"/>
  <c r="H128" i="2"/>
  <c r="H127" i="2"/>
  <c r="H120" i="2"/>
  <c r="H117" i="2"/>
  <c r="H110" i="2"/>
  <c r="H111" i="2"/>
  <c r="H114" i="2"/>
  <c r="H106" i="2"/>
  <c r="H107" i="2"/>
  <c r="H108" i="2"/>
  <c r="H96" i="2"/>
  <c r="H97" i="2"/>
  <c r="H98" i="2"/>
  <c r="H100" i="2"/>
  <c r="H101" i="2"/>
  <c r="H103" i="2"/>
  <c r="H86" i="2"/>
  <c r="H87" i="2"/>
  <c r="H89" i="2"/>
  <c r="H90" i="2"/>
  <c r="H91" i="2"/>
  <c r="H92" i="2"/>
  <c r="H93" i="2"/>
  <c r="H78" i="2"/>
  <c r="H79" i="2"/>
  <c r="H80" i="2"/>
  <c r="H81" i="2"/>
  <c r="H82" i="2"/>
  <c r="H53" i="2"/>
  <c r="H55" i="2"/>
  <c r="H56" i="2"/>
  <c r="H57" i="2"/>
  <c r="H58" i="2"/>
  <c r="H59" i="2"/>
  <c r="H65" i="2"/>
  <c r="H70" i="2"/>
  <c r="H45" i="2"/>
  <c r="H46" i="2"/>
  <c r="H47" i="2"/>
  <c r="H48" i="2"/>
  <c r="H30" i="2"/>
  <c r="H34" i="2"/>
  <c r="H35" i="2"/>
  <c r="H36" i="2"/>
  <c r="H38" i="2"/>
  <c r="H39" i="2"/>
  <c r="H27" i="2"/>
  <c r="H28" i="2"/>
  <c r="H21" i="2"/>
  <c r="H22" i="2"/>
  <c r="H23" i="2"/>
  <c r="H24" i="2"/>
  <c r="H25" i="2"/>
  <c r="H18" i="2"/>
  <c r="H19" i="2"/>
  <c r="H13" i="2"/>
  <c r="H15" i="2"/>
  <c r="F50" i="3" l="1"/>
  <c r="F45" i="3"/>
  <c r="H14" i="2"/>
  <c r="H179" i="2"/>
  <c r="I707" i="1"/>
  <c r="I38" i="1"/>
  <c r="I56" i="1"/>
  <c r="H11" i="2"/>
  <c r="H102" i="2"/>
  <c r="H188" i="2"/>
  <c r="I424" i="1"/>
  <c r="I701" i="1"/>
  <c r="I96" i="1"/>
  <c r="I579" i="1"/>
  <c r="I83" i="1"/>
  <c r="I102" i="1"/>
  <c r="I130" i="1"/>
  <c r="I430" i="1"/>
  <c r="H157" i="2"/>
  <c r="I373" i="1"/>
  <c r="I427" i="1"/>
  <c r="I683" i="1"/>
  <c r="I25" i="1"/>
  <c r="H131" i="2"/>
  <c r="H172" i="2"/>
  <c r="I704" i="1"/>
  <c r="J22" i="1"/>
  <c r="I31" i="1"/>
  <c r="I112" i="1"/>
  <c r="F42" i="3"/>
  <c r="H77" i="2"/>
  <c r="H116" i="2"/>
  <c r="H52" i="2"/>
  <c r="H44" i="2"/>
  <c r="H29" i="2"/>
  <c r="I694" i="1"/>
  <c r="H144" i="2"/>
  <c r="H211" i="2"/>
  <c r="H165" i="2"/>
  <c r="H140" i="2"/>
  <c r="H161" i="2"/>
  <c r="H85" i="2"/>
  <c r="I388" i="1"/>
  <c r="H26" i="2"/>
  <c r="H95" i="2"/>
  <c r="H20" i="2"/>
  <c r="H257" i="2"/>
  <c r="H109" i="2"/>
  <c r="H184" i="2"/>
  <c r="H254" i="2"/>
  <c r="I381" i="1"/>
  <c r="H17" i="2"/>
  <c r="H99" i="2"/>
  <c r="H192" i="2"/>
  <c r="H152" i="2"/>
  <c r="H105" i="2"/>
  <c r="I37" i="1"/>
  <c r="I36" i="1"/>
  <c r="I35" i="1"/>
  <c r="I30" i="1"/>
  <c r="I29" i="1"/>
  <c r="I17" i="1"/>
  <c r="I676" i="1"/>
  <c r="I423" i="1"/>
  <c r="H246" i="2"/>
  <c r="I415" i="1"/>
  <c r="I398" i="1"/>
  <c r="I366" i="1"/>
  <c r="H203" i="2"/>
  <c r="H126" i="2"/>
  <c r="I414" i="1" l="1"/>
  <c r="I16" i="1"/>
  <c r="H250" i="2"/>
  <c r="H242" i="2" s="1"/>
  <c r="H210" i="2"/>
  <c r="I129" i="1"/>
  <c r="I82" i="1"/>
  <c r="I95" i="1"/>
  <c r="H202" i="2"/>
  <c r="I28" i="1"/>
  <c r="H156" i="2"/>
  <c r="I693" i="1"/>
  <c r="I111" i="1"/>
  <c r="F56" i="3"/>
  <c r="I101" i="1"/>
  <c r="H10" i="2"/>
  <c r="I365" i="1"/>
  <c r="I422" i="1"/>
  <c r="I397" i="1"/>
  <c r="F21" i="3"/>
  <c r="H256" i="2"/>
  <c r="I55" i="1"/>
  <c r="I675" i="1"/>
  <c r="I380" i="1"/>
  <c r="H177" i="2"/>
  <c r="I364" i="1"/>
  <c r="I396" i="1"/>
  <c r="I15" i="1"/>
  <c r="H135" i="2"/>
  <c r="H143" i="2"/>
  <c r="I34" i="1"/>
  <c r="H43" i="2"/>
  <c r="H94" i="2"/>
  <c r="H164" i="2"/>
  <c r="H16" i="2"/>
  <c r="H104" i="2"/>
  <c r="H115" i="2"/>
  <c r="F20" i="3" l="1"/>
  <c r="I14" i="1"/>
  <c r="I395" i="1"/>
  <c r="I674" i="1"/>
  <c r="I48" i="1"/>
  <c r="F28" i="3"/>
  <c r="F24" i="3" s="1"/>
  <c r="I692" i="1"/>
  <c r="I81" i="1"/>
  <c r="F40" i="3"/>
  <c r="F57" i="3"/>
  <c r="I413" i="1"/>
  <c r="I379" i="1"/>
  <c r="I363" i="1"/>
  <c r="F54" i="3"/>
  <c r="F13" i="3"/>
  <c r="I128" i="1"/>
  <c r="H261" i="2"/>
  <c r="I362" i="1"/>
  <c r="I13" i="1"/>
  <c r="F215" i="2"/>
  <c r="G215" i="2"/>
  <c r="I215" i="2" s="1"/>
  <c r="C215" i="2"/>
  <c r="G684" i="1"/>
  <c r="G683" i="1" s="1"/>
  <c r="H684" i="1"/>
  <c r="F36" i="3" l="1"/>
  <c r="F53" i="3"/>
  <c r="F55" i="3"/>
  <c r="I12" i="1"/>
  <c r="H683" i="1"/>
  <c r="J683" i="1" s="1"/>
  <c r="J684" i="1"/>
  <c r="F23" i="3"/>
  <c r="I378" i="1"/>
  <c r="I691" i="1"/>
  <c r="I394" i="1"/>
  <c r="I361" i="1"/>
  <c r="I127" i="1"/>
  <c r="I412" i="1"/>
  <c r="I673" i="1"/>
  <c r="F17" i="3"/>
  <c r="F97" i="2"/>
  <c r="G97" i="2"/>
  <c r="I97" i="2" s="1"/>
  <c r="G86" i="1"/>
  <c r="G85" i="1" s="1"/>
  <c r="G84" i="1" s="1"/>
  <c r="G83" i="1" s="1"/>
  <c r="G82" i="1" s="1"/>
  <c r="G81" i="1" s="1"/>
  <c r="H86" i="1"/>
  <c r="F22" i="3" l="1"/>
  <c r="I393" i="1"/>
  <c r="F19" i="3"/>
  <c r="I377" i="1"/>
  <c r="H85" i="1"/>
  <c r="J86" i="1"/>
  <c r="I672" i="1"/>
  <c r="F14" i="3"/>
  <c r="I690" i="1"/>
  <c r="I411" i="1"/>
  <c r="H416" i="1"/>
  <c r="J416" i="1" s="1"/>
  <c r="I410" i="1" l="1"/>
  <c r="H84" i="1"/>
  <c r="J85" i="1"/>
  <c r="I689" i="1"/>
  <c r="I376" i="1"/>
  <c r="I671" i="1"/>
  <c r="F12" i="3"/>
  <c r="G259" i="2"/>
  <c r="I259" i="2" s="1"/>
  <c r="F260" i="2"/>
  <c r="G260" i="2"/>
  <c r="I260" i="2" s="1"/>
  <c r="G251" i="2"/>
  <c r="I251" i="2" s="1"/>
  <c r="F252" i="2"/>
  <c r="G252" i="2"/>
  <c r="I252" i="2" s="1"/>
  <c r="F253" i="2"/>
  <c r="G253" i="2"/>
  <c r="I253" i="2" s="1"/>
  <c r="F254" i="2"/>
  <c r="F255" i="2"/>
  <c r="G255" i="2"/>
  <c r="I255" i="2" s="1"/>
  <c r="F247" i="2"/>
  <c r="F248" i="2"/>
  <c r="F249" i="2"/>
  <c r="F236" i="2"/>
  <c r="G236" i="2"/>
  <c r="I236" i="2" s="1"/>
  <c r="F237" i="2"/>
  <c r="G237" i="2"/>
  <c r="I237" i="2" s="1"/>
  <c r="F240" i="2"/>
  <c r="G240" i="2"/>
  <c r="I240" i="2" s="1"/>
  <c r="F241" i="2"/>
  <c r="G241" i="2"/>
  <c r="I241" i="2" s="1"/>
  <c r="F219" i="2"/>
  <c r="G219" i="2"/>
  <c r="I219" i="2" s="1"/>
  <c r="F220" i="2"/>
  <c r="G220" i="2"/>
  <c r="I220" i="2" s="1"/>
  <c r="F221" i="2"/>
  <c r="G221" i="2"/>
  <c r="I221" i="2" s="1"/>
  <c r="F222" i="2"/>
  <c r="G222" i="2"/>
  <c r="I222" i="2" s="1"/>
  <c r="F223" i="2"/>
  <c r="G223" i="2"/>
  <c r="I223" i="2" s="1"/>
  <c r="G224" i="2"/>
  <c r="I224" i="2" s="1"/>
  <c r="F225" i="2"/>
  <c r="G225" i="2"/>
  <c r="I225" i="2" s="1"/>
  <c r="F226" i="2"/>
  <c r="G226" i="2"/>
  <c r="I226" i="2" s="1"/>
  <c r="F227" i="2"/>
  <c r="G227" i="2"/>
  <c r="I227" i="2" s="1"/>
  <c r="F228" i="2"/>
  <c r="G228" i="2"/>
  <c r="I228" i="2" s="1"/>
  <c r="F229" i="2"/>
  <c r="G229" i="2"/>
  <c r="I229" i="2" s="1"/>
  <c r="F230" i="2"/>
  <c r="G230" i="2"/>
  <c r="I230" i="2" s="1"/>
  <c r="F233" i="2"/>
  <c r="G233" i="2"/>
  <c r="I233" i="2" s="1"/>
  <c r="F212" i="2"/>
  <c r="G212" i="2"/>
  <c r="I212" i="2" s="1"/>
  <c r="F213" i="2"/>
  <c r="G213" i="2"/>
  <c r="I213" i="2" s="1"/>
  <c r="F214" i="2"/>
  <c r="G214" i="2"/>
  <c r="I214" i="2" s="1"/>
  <c r="F204" i="2"/>
  <c r="G204" i="2"/>
  <c r="I204" i="2" s="1"/>
  <c r="G205" i="2"/>
  <c r="I205" i="2" s="1"/>
  <c r="F206" i="2"/>
  <c r="G206" i="2"/>
  <c r="I206" i="2" s="1"/>
  <c r="F207" i="2"/>
  <c r="G207" i="2"/>
  <c r="I207" i="2" s="1"/>
  <c r="F208" i="2"/>
  <c r="G208" i="2"/>
  <c r="I208" i="2" s="1"/>
  <c r="F209" i="2"/>
  <c r="G209" i="2"/>
  <c r="I209" i="2" s="1"/>
  <c r="F193" i="2"/>
  <c r="G193" i="2"/>
  <c r="I193" i="2" s="1"/>
  <c r="F194" i="2"/>
  <c r="G194" i="2"/>
  <c r="I194" i="2" s="1"/>
  <c r="F187" i="2"/>
  <c r="G187" i="2"/>
  <c r="I187" i="2" s="1"/>
  <c r="F189" i="2"/>
  <c r="F188" i="2" s="1"/>
  <c r="F166" i="2"/>
  <c r="G166" i="2"/>
  <c r="I166" i="2" s="1"/>
  <c r="F168" i="2"/>
  <c r="G168" i="2"/>
  <c r="I168" i="2" s="1"/>
  <c r="F162" i="2"/>
  <c r="G162" i="2"/>
  <c r="I162" i="2" s="1"/>
  <c r="F163" i="2"/>
  <c r="G163" i="2"/>
  <c r="I163" i="2" s="1"/>
  <c r="G145" i="2"/>
  <c r="I145" i="2" s="1"/>
  <c r="F146" i="2"/>
  <c r="G146" i="2"/>
  <c r="I146" i="2" s="1"/>
  <c r="F147" i="2"/>
  <c r="F150" i="2"/>
  <c r="G150" i="2"/>
  <c r="I150" i="2" s="1"/>
  <c r="F141" i="2"/>
  <c r="G141" i="2"/>
  <c r="I141" i="2" s="1"/>
  <c r="F142" i="2"/>
  <c r="G142" i="2"/>
  <c r="I142" i="2" s="1"/>
  <c r="F129" i="2"/>
  <c r="G129" i="2"/>
  <c r="I129" i="2" s="1"/>
  <c r="F130" i="2"/>
  <c r="G130" i="2"/>
  <c r="I130" i="2" s="1"/>
  <c r="F127" i="2"/>
  <c r="G127" i="2"/>
  <c r="I127" i="2" s="1"/>
  <c r="F128" i="2"/>
  <c r="G128" i="2"/>
  <c r="I128" i="2" s="1"/>
  <c r="F120" i="2"/>
  <c r="G120" i="2"/>
  <c r="I120" i="2" s="1"/>
  <c r="F117" i="2"/>
  <c r="G117" i="2"/>
  <c r="I117" i="2" s="1"/>
  <c r="F110" i="2"/>
  <c r="G110" i="2"/>
  <c r="I110" i="2" s="1"/>
  <c r="F111" i="2"/>
  <c r="G111" i="2"/>
  <c r="I111" i="2" s="1"/>
  <c r="F112" i="2"/>
  <c r="F114" i="2"/>
  <c r="G114" i="2"/>
  <c r="I114" i="2" s="1"/>
  <c r="F106" i="2"/>
  <c r="G106" i="2"/>
  <c r="I106" i="2" s="1"/>
  <c r="F107" i="2"/>
  <c r="G107" i="2"/>
  <c r="I107" i="2" s="1"/>
  <c r="F108" i="2"/>
  <c r="G108" i="2"/>
  <c r="I108" i="2" s="1"/>
  <c r="F103" i="2"/>
  <c r="G103" i="2"/>
  <c r="I103" i="2" s="1"/>
  <c r="F100" i="2"/>
  <c r="G100" i="2"/>
  <c r="I100" i="2" s="1"/>
  <c r="F96" i="2"/>
  <c r="G96" i="2"/>
  <c r="I96" i="2" s="1"/>
  <c r="G98" i="2"/>
  <c r="I98" i="2" s="1"/>
  <c r="F86" i="2"/>
  <c r="G86" i="2"/>
  <c r="I86" i="2" s="1"/>
  <c r="F87" i="2"/>
  <c r="G87" i="2"/>
  <c r="I87" i="2" s="1"/>
  <c r="F89" i="2"/>
  <c r="G89" i="2"/>
  <c r="I89" i="2" s="1"/>
  <c r="F90" i="2"/>
  <c r="G90" i="2"/>
  <c r="I90" i="2" s="1"/>
  <c r="F91" i="2"/>
  <c r="G91" i="2"/>
  <c r="I91" i="2" s="1"/>
  <c r="F92" i="2"/>
  <c r="G92" i="2"/>
  <c r="I92" i="2" s="1"/>
  <c r="F93" i="2"/>
  <c r="G93" i="2"/>
  <c r="G78" i="2"/>
  <c r="I78" i="2" s="1"/>
  <c r="F79" i="2"/>
  <c r="F80" i="2"/>
  <c r="G80" i="2"/>
  <c r="I80" i="2" s="1"/>
  <c r="F81" i="2"/>
  <c r="G81" i="2"/>
  <c r="I81" i="2" s="1"/>
  <c r="F82" i="2"/>
  <c r="G65" i="2"/>
  <c r="I65" i="2" s="1"/>
  <c r="F58" i="2"/>
  <c r="G58" i="2"/>
  <c r="I58" i="2" s="1"/>
  <c r="G59" i="2"/>
  <c r="I59" i="2" s="1"/>
  <c r="G53" i="2"/>
  <c r="I53" i="2" s="1"/>
  <c r="G55" i="2"/>
  <c r="I55" i="2" s="1"/>
  <c r="F56" i="2"/>
  <c r="G56" i="2"/>
  <c r="I56" i="2" s="1"/>
  <c r="G57" i="2"/>
  <c r="I57" i="2" s="1"/>
  <c r="F48" i="2"/>
  <c r="G48" i="2"/>
  <c r="I48" i="2" s="1"/>
  <c r="F45" i="2"/>
  <c r="G45" i="2"/>
  <c r="I45" i="2" s="1"/>
  <c r="F47" i="2"/>
  <c r="G47" i="2"/>
  <c r="I47" i="2" s="1"/>
  <c r="G30" i="2"/>
  <c r="I30" i="2" s="1"/>
  <c r="F34" i="2"/>
  <c r="G34" i="2"/>
  <c r="I34" i="2" s="1"/>
  <c r="F35" i="2"/>
  <c r="G35" i="2"/>
  <c r="I35" i="2" s="1"/>
  <c r="F36" i="2"/>
  <c r="G36" i="2"/>
  <c r="I36" i="2" s="1"/>
  <c r="F38" i="2"/>
  <c r="G38" i="2"/>
  <c r="I38" i="2" s="1"/>
  <c r="F39" i="2"/>
  <c r="G39" i="2"/>
  <c r="I39" i="2" s="1"/>
  <c r="G27" i="2"/>
  <c r="I27" i="2" s="1"/>
  <c r="G28" i="2"/>
  <c r="I28" i="2" s="1"/>
  <c r="F21" i="2"/>
  <c r="G21" i="2"/>
  <c r="I21" i="2" s="1"/>
  <c r="F22" i="2"/>
  <c r="G22" i="2"/>
  <c r="I22" i="2" s="1"/>
  <c r="F23" i="2"/>
  <c r="G23" i="2"/>
  <c r="I23" i="2" s="1"/>
  <c r="F24" i="2"/>
  <c r="G24" i="2"/>
  <c r="I24" i="2" s="1"/>
  <c r="F25" i="2"/>
  <c r="G25" i="2"/>
  <c r="I25" i="2" s="1"/>
  <c r="F58" i="3" l="1"/>
  <c r="I710" i="1"/>
  <c r="H83" i="1"/>
  <c r="J84" i="1"/>
  <c r="G116" i="2"/>
  <c r="I116" i="2" s="1"/>
  <c r="G218" i="2"/>
  <c r="G29" i="2"/>
  <c r="I29" i="2" s="1"/>
  <c r="F116" i="2"/>
  <c r="F211" i="2"/>
  <c r="G211" i="2"/>
  <c r="F165" i="2"/>
  <c r="G165" i="2"/>
  <c r="I165" i="2" s="1"/>
  <c r="F140" i="2"/>
  <c r="G140" i="2"/>
  <c r="I140" i="2" s="1"/>
  <c r="F161" i="2"/>
  <c r="G161" i="2"/>
  <c r="I161" i="2" s="1"/>
  <c r="F85" i="2"/>
  <c r="G85" i="2"/>
  <c r="I85" i="2" s="1"/>
  <c r="G95" i="2"/>
  <c r="I95" i="2" s="1"/>
  <c r="G26" i="2"/>
  <c r="I26" i="2" s="1"/>
  <c r="G20" i="2"/>
  <c r="I20" i="2" s="1"/>
  <c r="F20" i="2"/>
  <c r="F109" i="2"/>
  <c r="G109" i="2"/>
  <c r="I109" i="2" s="1"/>
  <c r="G126" i="2"/>
  <c r="I126" i="2" s="1"/>
  <c r="G105" i="2"/>
  <c r="I105" i="2" s="1"/>
  <c r="F105" i="2"/>
  <c r="F126" i="2"/>
  <c r="F18" i="2"/>
  <c r="G18" i="2"/>
  <c r="I18" i="2" s="1"/>
  <c r="F19" i="2"/>
  <c r="G19" i="2"/>
  <c r="I19" i="2" s="1"/>
  <c r="F15" i="2"/>
  <c r="G15" i="2"/>
  <c r="I15" i="2" s="1"/>
  <c r="F13" i="2"/>
  <c r="F11" i="2" s="1"/>
  <c r="G13" i="2"/>
  <c r="F158" i="2"/>
  <c r="F157" i="2" s="1"/>
  <c r="G158" i="2"/>
  <c r="F132" i="2"/>
  <c r="G132" i="2"/>
  <c r="I132" i="2" s="1"/>
  <c r="F102" i="2"/>
  <c r="G102" i="2"/>
  <c r="I102" i="2" s="1"/>
  <c r="G11" i="2" l="1"/>
  <c r="I11" i="2" s="1"/>
  <c r="I13" i="2"/>
  <c r="H82" i="1"/>
  <c r="J83" i="1"/>
  <c r="G157" i="2"/>
  <c r="I157" i="2" s="1"/>
  <c r="I158" i="2"/>
  <c r="F60" i="3"/>
  <c r="H263" i="2"/>
  <c r="G210" i="2"/>
  <c r="I210" i="2" s="1"/>
  <c r="I211" i="2"/>
  <c r="G217" i="2"/>
  <c r="I217" i="2" s="1"/>
  <c r="I218" i="2"/>
  <c r="F156" i="2"/>
  <c r="G156" i="2"/>
  <c r="I156" i="2" s="1"/>
  <c r="G17" i="2"/>
  <c r="I17" i="2" s="1"/>
  <c r="F104" i="2"/>
  <c r="F17" i="2"/>
  <c r="G104" i="2"/>
  <c r="I104" i="2" s="1"/>
  <c r="F210" i="2"/>
  <c r="F14" i="2"/>
  <c r="G14" i="2"/>
  <c r="G185" i="2"/>
  <c r="G203" i="2"/>
  <c r="G695" i="1"/>
  <c r="H695" i="1"/>
  <c r="J695" i="1" s="1"/>
  <c r="H697" i="1"/>
  <c r="J697" i="1" s="1"/>
  <c r="G699" i="1"/>
  <c r="H699" i="1"/>
  <c r="J699" i="1" s="1"/>
  <c r="G702" i="1"/>
  <c r="G701" i="1" s="1"/>
  <c r="H702" i="1"/>
  <c r="G705" i="1"/>
  <c r="G704" i="1" s="1"/>
  <c r="H705" i="1"/>
  <c r="G708" i="1"/>
  <c r="G707" i="1" s="1"/>
  <c r="H708" i="1"/>
  <c r="H681" i="1"/>
  <c r="J681" i="1" s="1"/>
  <c r="H679" i="1"/>
  <c r="J679" i="1" s="1"/>
  <c r="H677" i="1"/>
  <c r="J677" i="1" s="1"/>
  <c r="H638" i="1"/>
  <c r="H654" i="1"/>
  <c r="J654" i="1" s="1"/>
  <c r="H652" i="1"/>
  <c r="J652" i="1" s="1"/>
  <c r="H650" i="1"/>
  <c r="J650" i="1" s="1"/>
  <c r="G549" i="1"/>
  <c r="H549" i="1"/>
  <c r="J549" i="1" s="1"/>
  <c r="G547" i="1"/>
  <c r="H547" i="1"/>
  <c r="J547" i="1" s="1"/>
  <c r="H577" i="1"/>
  <c r="J577" i="1" s="1"/>
  <c r="H558" i="1"/>
  <c r="H480" i="1"/>
  <c r="H399" i="1"/>
  <c r="J399" i="1" s="1"/>
  <c r="G403" i="1"/>
  <c r="H403" i="1"/>
  <c r="J403" i="1" s="1"/>
  <c r="G382" i="1"/>
  <c r="H382" i="1"/>
  <c r="J382" i="1" s="1"/>
  <c r="G384" i="1"/>
  <c r="H384" i="1"/>
  <c r="J384" i="1" s="1"/>
  <c r="G386" i="1"/>
  <c r="H386" i="1"/>
  <c r="J386" i="1" s="1"/>
  <c r="G389" i="1"/>
  <c r="H389" i="1"/>
  <c r="J389" i="1" s="1"/>
  <c r="G391" i="1"/>
  <c r="H391" i="1"/>
  <c r="J391" i="1" s="1"/>
  <c r="H367" i="1"/>
  <c r="J367" i="1" s="1"/>
  <c r="F145" i="2"/>
  <c r="G369" i="1"/>
  <c r="H369" i="1"/>
  <c r="J369" i="1" s="1"/>
  <c r="G371" i="1"/>
  <c r="G307" i="1"/>
  <c r="H307" i="1"/>
  <c r="J307" i="1" s="1"/>
  <c r="G305" i="1"/>
  <c r="G292" i="1"/>
  <c r="H292" i="1"/>
  <c r="J292" i="1" s="1"/>
  <c r="H250" i="1"/>
  <c r="G237" i="1"/>
  <c r="G236" i="1" s="1"/>
  <c r="H237" i="1"/>
  <c r="G231" i="1"/>
  <c r="H231" i="1"/>
  <c r="J231" i="1" s="1"/>
  <c r="G229" i="1"/>
  <c r="H229" i="1"/>
  <c r="J229" i="1" s="1"/>
  <c r="G214" i="1"/>
  <c r="G213" i="1" s="1"/>
  <c r="F155" i="2" s="1"/>
  <c r="H214" i="1"/>
  <c r="G211" i="1"/>
  <c r="G210" i="1" s="1"/>
  <c r="F154" i="2" s="1"/>
  <c r="H211" i="1"/>
  <c r="G208" i="1"/>
  <c r="G207" i="1" s="1"/>
  <c r="H208" i="1"/>
  <c r="G201" i="1"/>
  <c r="G200" i="1" s="1"/>
  <c r="G199" i="1" s="1"/>
  <c r="H201" i="1"/>
  <c r="G194" i="1"/>
  <c r="H194" i="1"/>
  <c r="J194" i="1" s="1"/>
  <c r="G192" i="1"/>
  <c r="H192" i="1"/>
  <c r="J192" i="1" s="1"/>
  <c r="G188" i="1"/>
  <c r="G187" i="1" s="1"/>
  <c r="G186" i="1" s="1"/>
  <c r="H188" i="1"/>
  <c r="G183" i="1"/>
  <c r="G182" i="1" s="1"/>
  <c r="H183" i="1"/>
  <c r="G180" i="1"/>
  <c r="G179" i="1" s="1"/>
  <c r="H180" i="1"/>
  <c r="G177" i="1"/>
  <c r="G176" i="1" s="1"/>
  <c r="H177" i="1"/>
  <c r="G174" i="1"/>
  <c r="G173" i="1" s="1"/>
  <c r="H174" i="1"/>
  <c r="G171" i="1"/>
  <c r="H171" i="1"/>
  <c r="J171" i="1" s="1"/>
  <c r="G169" i="1"/>
  <c r="H169" i="1"/>
  <c r="J169" i="1" s="1"/>
  <c r="G166" i="1"/>
  <c r="G164" i="1"/>
  <c r="H164" i="1"/>
  <c r="J164" i="1" s="1"/>
  <c r="G158" i="1"/>
  <c r="G157" i="1" s="1"/>
  <c r="G156" i="1" s="1"/>
  <c r="H158" i="1"/>
  <c r="H152" i="1"/>
  <c r="G146" i="1"/>
  <c r="G145" i="1" s="1"/>
  <c r="H146" i="1"/>
  <c r="G143" i="1"/>
  <c r="H143" i="1"/>
  <c r="J143" i="1" s="1"/>
  <c r="G141" i="1"/>
  <c r="H141" i="1"/>
  <c r="J141" i="1" s="1"/>
  <c r="G139" i="1"/>
  <c r="G133" i="1"/>
  <c r="G132" i="1" s="1"/>
  <c r="G131" i="1" s="1"/>
  <c r="G130" i="1" s="1"/>
  <c r="G129" i="1" s="1"/>
  <c r="D13" i="3" s="1"/>
  <c r="H133" i="1"/>
  <c r="G352" i="1"/>
  <c r="H352" i="1"/>
  <c r="J352" i="1" s="1"/>
  <c r="G350" i="1"/>
  <c r="H350" i="1"/>
  <c r="J350" i="1" s="1"/>
  <c r="G347" i="1"/>
  <c r="G346" i="1" s="1"/>
  <c r="H347" i="1"/>
  <c r="G334" i="1"/>
  <c r="H334" i="1"/>
  <c r="J334" i="1" s="1"/>
  <c r="G332" i="1"/>
  <c r="H332" i="1"/>
  <c r="J332" i="1" s="1"/>
  <c r="G326" i="1"/>
  <c r="G325" i="1" s="1"/>
  <c r="G324" i="1" s="1"/>
  <c r="G323" i="1" s="1"/>
  <c r="G322" i="1" s="1"/>
  <c r="G314" i="1"/>
  <c r="G313" i="1" s="1"/>
  <c r="G312" i="1" s="1"/>
  <c r="G311" i="1" s="1"/>
  <c r="G310" i="1" s="1"/>
  <c r="G285" i="1"/>
  <c r="G284" i="1" s="1"/>
  <c r="H285" i="1"/>
  <c r="G282" i="1"/>
  <c r="G281" i="1" s="1"/>
  <c r="H282" i="1"/>
  <c r="G274" i="1"/>
  <c r="H274" i="1"/>
  <c r="J274" i="1" s="1"/>
  <c r="G256" i="1"/>
  <c r="G255" i="1" s="1"/>
  <c r="H256" i="1"/>
  <c r="H255" i="1" l="1"/>
  <c r="J255" i="1" s="1"/>
  <c r="J256" i="1"/>
  <c r="H281" i="1"/>
  <c r="J281" i="1" s="1"/>
  <c r="J282" i="1"/>
  <c r="H132" i="1"/>
  <c r="J133" i="1"/>
  <c r="H557" i="1"/>
  <c r="J558" i="1"/>
  <c r="G202" i="2"/>
  <c r="I202" i="2" s="1"/>
  <c r="I203" i="2"/>
  <c r="H176" i="1"/>
  <c r="J176" i="1" s="1"/>
  <c r="J177" i="1"/>
  <c r="H182" i="1"/>
  <c r="J182" i="1" s="1"/>
  <c r="J183" i="1"/>
  <c r="H200" i="1"/>
  <c r="J201" i="1"/>
  <c r="H210" i="1"/>
  <c r="J211" i="1"/>
  <c r="H236" i="1"/>
  <c r="J236" i="1" s="1"/>
  <c r="J237" i="1"/>
  <c r="H637" i="1"/>
  <c r="J637" i="1" s="1"/>
  <c r="J638" i="1"/>
  <c r="H707" i="1"/>
  <c r="J707" i="1" s="1"/>
  <c r="J708" i="1"/>
  <c r="H701" i="1"/>
  <c r="J701" i="1" s="1"/>
  <c r="J702" i="1"/>
  <c r="G184" i="2"/>
  <c r="I184" i="2" s="1"/>
  <c r="I185" i="2"/>
  <c r="H81" i="1"/>
  <c r="J81" i="1" s="1"/>
  <c r="J82" i="1"/>
  <c r="H151" i="1"/>
  <c r="J151" i="1" s="1"/>
  <c r="J152" i="1"/>
  <c r="H284" i="1"/>
  <c r="J284" i="1" s="1"/>
  <c r="J285" i="1"/>
  <c r="H346" i="1"/>
  <c r="J346" i="1" s="1"/>
  <c r="J347" i="1"/>
  <c r="H157" i="1"/>
  <c r="J157" i="1" s="1"/>
  <c r="J158" i="1"/>
  <c r="G10" i="2"/>
  <c r="I10" i="2" s="1"/>
  <c r="I14" i="2"/>
  <c r="H145" i="1"/>
  <c r="J145" i="1" s="1"/>
  <c r="J146" i="1"/>
  <c r="H173" i="1"/>
  <c r="J173" i="1" s="1"/>
  <c r="J174" i="1"/>
  <c r="H179" i="1"/>
  <c r="J179" i="1" s="1"/>
  <c r="J180" i="1"/>
  <c r="H187" i="1"/>
  <c r="J188" i="1"/>
  <c r="H207" i="1"/>
  <c r="J208" i="1"/>
  <c r="H213" i="1"/>
  <c r="J214" i="1"/>
  <c r="H249" i="1"/>
  <c r="J249" i="1" s="1"/>
  <c r="J250" i="1"/>
  <c r="H479" i="1"/>
  <c r="J479" i="1" s="1"/>
  <c r="J480" i="1"/>
  <c r="H704" i="1"/>
  <c r="J704" i="1" s="1"/>
  <c r="J705" i="1"/>
  <c r="H248" i="1"/>
  <c r="J248" i="1" s="1"/>
  <c r="H235" i="1"/>
  <c r="G235" i="1"/>
  <c r="G234" i="1" s="1"/>
  <c r="G233" i="1" s="1"/>
  <c r="G254" i="1"/>
  <c r="G253" i="1" s="1"/>
  <c r="G252" i="1" s="1"/>
  <c r="H254" i="1"/>
  <c r="G273" i="1"/>
  <c r="G272" i="1" s="1"/>
  <c r="G271" i="1" s="1"/>
  <c r="G270" i="1" s="1"/>
  <c r="D31" i="3" s="1"/>
  <c r="H273" i="1"/>
  <c r="G304" i="1"/>
  <c r="G303" i="1" s="1"/>
  <c r="G302" i="1" s="1"/>
  <c r="G301" i="1" s="1"/>
  <c r="G300" i="1" s="1"/>
  <c r="H694" i="1"/>
  <c r="H676" i="1"/>
  <c r="J676" i="1" s="1"/>
  <c r="H138" i="1"/>
  <c r="J138" i="1" s="1"/>
  <c r="G349" i="1"/>
  <c r="G345" i="1" s="1"/>
  <c r="G344" i="1" s="1"/>
  <c r="H304" i="1"/>
  <c r="J304" i="1" s="1"/>
  <c r="H546" i="1"/>
  <c r="G138" i="1"/>
  <c r="G137" i="1" s="1"/>
  <c r="G388" i="1"/>
  <c r="G546" i="1"/>
  <c r="G545" i="1" s="1"/>
  <c r="F148" i="2"/>
  <c r="F144" i="2" s="1"/>
  <c r="H388" i="1"/>
  <c r="J388" i="1" s="1"/>
  <c r="H294" i="1"/>
  <c r="G367" i="1"/>
  <c r="G366" i="1" s="1"/>
  <c r="H349" i="1"/>
  <c r="G206" i="1"/>
  <c r="F153" i="2"/>
  <c r="F152" i="2" s="1"/>
  <c r="H320" i="1"/>
  <c r="G180" i="2"/>
  <c r="H381" i="1"/>
  <c r="J381" i="1" s="1"/>
  <c r="H326" i="1"/>
  <c r="G189" i="2"/>
  <c r="G148" i="2"/>
  <c r="I148" i="2" s="1"/>
  <c r="G381" i="1"/>
  <c r="F10" i="2"/>
  <c r="H206" i="1"/>
  <c r="J206" i="1" s="1"/>
  <c r="G331" i="1"/>
  <c r="G330" i="1" s="1"/>
  <c r="H649" i="1"/>
  <c r="H228" i="1"/>
  <c r="G228" i="1"/>
  <c r="G227" i="1" s="1"/>
  <c r="G226" i="1" s="1"/>
  <c r="G225" i="1" s="1"/>
  <c r="H191" i="1"/>
  <c r="G191" i="1"/>
  <c r="G190" i="1" s="1"/>
  <c r="G185" i="1" s="1"/>
  <c r="H168" i="1"/>
  <c r="J168" i="1" s="1"/>
  <c r="G168" i="1"/>
  <c r="H163" i="1"/>
  <c r="J163" i="1" s="1"/>
  <c r="G163" i="1"/>
  <c r="H156" i="1"/>
  <c r="J156" i="1" s="1"/>
  <c r="H155" i="1"/>
  <c r="G155" i="1"/>
  <c r="G154" i="1" s="1"/>
  <c r="H150" i="1"/>
  <c r="J150" i="1" s="1"/>
  <c r="H149" i="1"/>
  <c r="H331" i="1"/>
  <c r="G280" i="1"/>
  <c r="G279" i="1" s="1"/>
  <c r="G278" i="1" s="1"/>
  <c r="D32" i="3" s="1"/>
  <c r="D30" i="3" s="1"/>
  <c r="H280" i="1"/>
  <c r="F135" i="2"/>
  <c r="H279" i="1" l="1"/>
  <c r="J280" i="1"/>
  <c r="H154" i="1"/>
  <c r="J154" i="1" s="1"/>
  <c r="J155" i="1"/>
  <c r="G188" i="2"/>
  <c r="I188" i="2" s="1"/>
  <c r="I189" i="2"/>
  <c r="H545" i="1"/>
  <c r="J546" i="1"/>
  <c r="H148" i="1"/>
  <c r="J148" i="1" s="1"/>
  <c r="J149" i="1"/>
  <c r="H227" i="1"/>
  <c r="J228" i="1"/>
  <c r="H325" i="1"/>
  <c r="J326" i="1"/>
  <c r="H291" i="1"/>
  <c r="J294" i="1"/>
  <c r="H693" i="1"/>
  <c r="J694" i="1"/>
  <c r="H253" i="1"/>
  <c r="J254" i="1"/>
  <c r="H247" i="1"/>
  <c r="G155" i="2"/>
  <c r="I155" i="2" s="1"/>
  <c r="J213" i="1"/>
  <c r="H186" i="1"/>
  <c r="J186" i="1" s="1"/>
  <c r="J187" i="1"/>
  <c r="H199" i="1"/>
  <c r="J199" i="1" s="1"/>
  <c r="J200" i="1"/>
  <c r="J557" i="1"/>
  <c r="H648" i="1"/>
  <c r="J649" i="1"/>
  <c r="H190" i="1"/>
  <c r="J191" i="1"/>
  <c r="G179" i="2"/>
  <c r="I179" i="2" s="1"/>
  <c r="I180" i="2"/>
  <c r="H345" i="1"/>
  <c r="J349" i="1"/>
  <c r="H272" i="1"/>
  <c r="J273" i="1"/>
  <c r="H330" i="1"/>
  <c r="J330" i="1" s="1"/>
  <c r="J331" i="1"/>
  <c r="H319" i="1"/>
  <c r="J320" i="1"/>
  <c r="H234" i="1"/>
  <c r="J235" i="1"/>
  <c r="G153" i="2"/>
  <c r="J207" i="1"/>
  <c r="G154" i="2"/>
  <c r="I154" i="2" s="1"/>
  <c r="J210" i="1"/>
  <c r="H131" i="1"/>
  <c r="J132" i="1"/>
  <c r="H137" i="1"/>
  <c r="H303" i="1"/>
  <c r="J303" i="1" s="1"/>
  <c r="H675" i="1"/>
  <c r="G269" i="1"/>
  <c r="G380" i="1"/>
  <c r="H380" i="1"/>
  <c r="J380" i="1" s="1"/>
  <c r="G136" i="1"/>
  <c r="G135" i="1" s="1"/>
  <c r="D15" i="3" s="1"/>
  <c r="G544" i="1"/>
  <c r="G543" i="1" s="1"/>
  <c r="H162" i="1"/>
  <c r="G162" i="1"/>
  <c r="G161" i="1" s="1"/>
  <c r="G160" i="1" s="1"/>
  <c r="H329" i="1"/>
  <c r="J329" i="1" s="1"/>
  <c r="G329" i="1"/>
  <c r="F143" i="2"/>
  <c r="H198" i="1"/>
  <c r="G198" i="1"/>
  <c r="G197" i="1" s="1"/>
  <c r="G196" i="1" s="1"/>
  <c r="G82" i="2"/>
  <c r="I82" i="2" s="1"/>
  <c r="G535" i="1"/>
  <c r="G79" i="2"/>
  <c r="I79" i="2" s="1"/>
  <c r="H233" i="1" l="1"/>
  <c r="J234" i="1"/>
  <c r="H344" i="1"/>
  <c r="J344" i="1" s="1"/>
  <c r="J345" i="1"/>
  <c r="H185" i="1"/>
  <c r="J185" i="1" s="1"/>
  <c r="J190" i="1"/>
  <c r="H136" i="1"/>
  <c r="J136" i="1" s="1"/>
  <c r="J137" i="1"/>
  <c r="H252" i="1"/>
  <c r="J253" i="1"/>
  <c r="H290" i="1"/>
  <c r="J291" i="1"/>
  <c r="H226" i="1"/>
  <c r="J227" i="1"/>
  <c r="H544" i="1"/>
  <c r="J545" i="1"/>
  <c r="H161" i="1"/>
  <c r="J162" i="1"/>
  <c r="H674" i="1"/>
  <c r="J675" i="1"/>
  <c r="H130" i="1"/>
  <c r="J131" i="1"/>
  <c r="I153" i="2"/>
  <c r="G152" i="2"/>
  <c r="I152" i="2" s="1"/>
  <c r="H318" i="1"/>
  <c r="J319" i="1"/>
  <c r="H271" i="1"/>
  <c r="J272" i="1"/>
  <c r="H647" i="1"/>
  <c r="J648" i="1"/>
  <c r="H197" i="1"/>
  <c r="J198" i="1"/>
  <c r="H246" i="1"/>
  <c r="J246" i="1" s="1"/>
  <c r="J247" i="1"/>
  <c r="H692" i="1"/>
  <c r="J693" i="1"/>
  <c r="H324" i="1"/>
  <c r="J325" i="1"/>
  <c r="H278" i="1"/>
  <c r="J279" i="1"/>
  <c r="G77" i="2"/>
  <c r="I77" i="2" s="1"/>
  <c r="H302" i="1"/>
  <c r="J302" i="1" s="1"/>
  <c r="H328" i="1"/>
  <c r="G328" i="1"/>
  <c r="D49" i="3" s="1"/>
  <c r="G530" i="1"/>
  <c r="G526" i="1" s="1"/>
  <c r="E49" i="3" l="1"/>
  <c r="G49" i="3" s="1"/>
  <c r="J328" i="1"/>
  <c r="H196" i="1"/>
  <c r="J196" i="1" s="1"/>
  <c r="J197" i="1"/>
  <c r="H543" i="1"/>
  <c r="J543" i="1" s="1"/>
  <c r="J544" i="1"/>
  <c r="H289" i="1"/>
  <c r="J290" i="1"/>
  <c r="E32" i="3"/>
  <c r="J278" i="1"/>
  <c r="H269" i="1"/>
  <c r="J269" i="1" s="1"/>
  <c r="H691" i="1"/>
  <c r="J692" i="1"/>
  <c r="H270" i="1"/>
  <c r="J271" i="1"/>
  <c r="H673" i="1"/>
  <c r="J674" i="1"/>
  <c r="H135" i="1"/>
  <c r="J135" i="1" s="1"/>
  <c r="H323" i="1"/>
  <c r="J324" i="1"/>
  <c r="J647" i="1"/>
  <c r="H646" i="1"/>
  <c r="H317" i="1"/>
  <c r="J318" i="1"/>
  <c r="H129" i="1"/>
  <c r="J130" i="1"/>
  <c r="H160" i="1"/>
  <c r="J160" i="1" s="1"/>
  <c r="J161" i="1"/>
  <c r="H225" i="1"/>
  <c r="J226" i="1"/>
  <c r="E29" i="3"/>
  <c r="G29" i="3" s="1"/>
  <c r="J252" i="1"/>
  <c r="E27" i="3"/>
  <c r="G27" i="3" s="1"/>
  <c r="J233" i="1"/>
  <c r="H128" i="1"/>
  <c r="J128" i="1" s="1"/>
  <c r="E15" i="3"/>
  <c r="G15" i="3" s="1"/>
  <c r="H301" i="1"/>
  <c r="G604" i="1"/>
  <c r="G603" i="1" s="1"/>
  <c r="F101" i="2" s="1"/>
  <c r="F99" i="2" s="1"/>
  <c r="F65" i="2"/>
  <c r="F57" i="2"/>
  <c r="F55" i="2"/>
  <c r="F53" i="2"/>
  <c r="G32" i="3" l="1"/>
  <c r="H672" i="1"/>
  <c r="J673" i="1"/>
  <c r="E14" i="3"/>
  <c r="G14" i="3" s="1"/>
  <c r="J691" i="1"/>
  <c r="H690" i="1"/>
  <c r="H316" i="1"/>
  <c r="J316" i="1" s="1"/>
  <c r="J317" i="1"/>
  <c r="H322" i="1"/>
  <c r="J322" i="1" s="1"/>
  <c r="J323" i="1"/>
  <c r="H288" i="1"/>
  <c r="J289" i="1"/>
  <c r="E44" i="3"/>
  <c r="G44" i="3" s="1"/>
  <c r="J646" i="1"/>
  <c r="E31" i="3"/>
  <c r="G31" i="3" s="1"/>
  <c r="J270" i="1"/>
  <c r="E41" i="3"/>
  <c r="G41" i="3" s="1"/>
  <c r="J301" i="1"/>
  <c r="E26" i="3"/>
  <c r="J225" i="1"/>
  <c r="H216" i="1"/>
  <c r="J216" i="1" s="1"/>
  <c r="E13" i="3"/>
  <c r="G13" i="3" s="1"/>
  <c r="J129" i="1"/>
  <c r="H300" i="1"/>
  <c r="J300" i="1" s="1"/>
  <c r="G294" i="1"/>
  <c r="G291" i="1" s="1"/>
  <c r="G290" i="1" s="1"/>
  <c r="G289" i="1" s="1"/>
  <c r="G320" i="1"/>
  <c r="G319" i="1" s="1"/>
  <c r="G318" i="1" s="1"/>
  <c r="G317" i="1" s="1"/>
  <c r="G316" i="1" s="1"/>
  <c r="G309" i="1" s="1"/>
  <c r="F180" i="2"/>
  <c r="F179" i="2" s="1"/>
  <c r="F224" i="2"/>
  <c r="F218" i="2" s="1"/>
  <c r="F259" i="2"/>
  <c r="G258" i="2"/>
  <c r="F258" i="2"/>
  <c r="F78" i="2"/>
  <c r="F77" i="2" s="1"/>
  <c r="H585" i="1"/>
  <c r="F30" i="2"/>
  <c r="F29" i="2" s="1"/>
  <c r="F27" i="2"/>
  <c r="F28" i="2"/>
  <c r="G401" i="1"/>
  <c r="H401" i="1"/>
  <c r="J401" i="1" s="1"/>
  <c r="F205" i="2"/>
  <c r="C241" i="2"/>
  <c r="C187" i="2"/>
  <c r="G173" i="2"/>
  <c r="F173" i="2"/>
  <c r="F172" i="2" s="1"/>
  <c r="F251" i="2"/>
  <c r="F250" i="2" s="1"/>
  <c r="C70" i="2"/>
  <c r="G561" i="1"/>
  <c r="G560" i="1" s="1"/>
  <c r="F70" i="2" s="1"/>
  <c r="H561" i="1"/>
  <c r="J561" i="1" s="1"/>
  <c r="C260" i="2"/>
  <c r="G99" i="1"/>
  <c r="G98" i="1" s="1"/>
  <c r="G97" i="1" s="1"/>
  <c r="G96" i="1" s="1"/>
  <c r="G95" i="1" s="1"/>
  <c r="D54" i="3" s="1"/>
  <c r="D53" i="3" s="1"/>
  <c r="H99" i="1"/>
  <c r="C129" i="2"/>
  <c r="C128" i="2"/>
  <c r="C127" i="2"/>
  <c r="H314" i="1"/>
  <c r="F185" i="2"/>
  <c r="F184" i="2" s="1"/>
  <c r="C185" i="2"/>
  <c r="C240" i="2"/>
  <c r="C236" i="2"/>
  <c r="C158" i="2"/>
  <c r="C223" i="2"/>
  <c r="C114" i="2"/>
  <c r="G26" i="1"/>
  <c r="G25" i="1" s="1"/>
  <c r="H26" i="1"/>
  <c r="C57" i="2"/>
  <c r="G489" i="1"/>
  <c r="G488" i="1" s="1"/>
  <c r="H489" i="1"/>
  <c r="F59" i="2"/>
  <c r="F52" i="2" s="1"/>
  <c r="C39" i="2"/>
  <c r="G638" i="1"/>
  <c r="G637" i="1" s="1"/>
  <c r="C208" i="2"/>
  <c r="C207" i="2"/>
  <c r="C254" i="2"/>
  <c r="G254" i="2"/>
  <c r="G408" i="1"/>
  <c r="G405" i="1" s="1"/>
  <c r="G681" i="1"/>
  <c r="G669" i="1"/>
  <c r="G668" i="1" s="1"/>
  <c r="G667" i="1" s="1"/>
  <c r="H669" i="1"/>
  <c r="G608" i="1"/>
  <c r="G607" i="1" s="1"/>
  <c r="G606" i="1" s="1"/>
  <c r="H608" i="1"/>
  <c r="G601" i="1"/>
  <c r="G600" i="1" s="1"/>
  <c r="G599" i="1" s="1"/>
  <c r="H601" i="1"/>
  <c r="C168" i="2"/>
  <c r="F131" i="2"/>
  <c r="G131" i="2"/>
  <c r="I131" i="2" s="1"/>
  <c r="G629" i="1"/>
  <c r="G628" i="1" s="1"/>
  <c r="H629" i="1"/>
  <c r="G374" i="1"/>
  <c r="G373" i="1" s="1"/>
  <c r="G365" i="1" s="1"/>
  <c r="H374" i="1"/>
  <c r="G59" i="1"/>
  <c r="G58" i="1" s="1"/>
  <c r="G57" i="1" s="1"/>
  <c r="C13" i="2"/>
  <c r="G665" i="1"/>
  <c r="G664" i="1" s="1"/>
  <c r="G663" i="1" s="1"/>
  <c r="H665" i="1"/>
  <c r="C189" i="2"/>
  <c r="G420" i="1"/>
  <c r="C55" i="2"/>
  <c r="G480" i="1"/>
  <c r="G479" i="1" s="1"/>
  <c r="G445" i="1"/>
  <c r="C21" i="2"/>
  <c r="G654" i="1"/>
  <c r="G652" i="1"/>
  <c r="G436" i="1"/>
  <c r="G435" i="1" s="1"/>
  <c r="H436" i="1"/>
  <c r="G418" i="1"/>
  <c r="G416" i="1"/>
  <c r="G247" i="2"/>
  <c r="I247" i="2" s="1"/>
  <c r="C92" i="2"/>
  <c r="C90" i="2"/>
  <c r="C86" i="2"/>
  <c r="C78" i="2"/>
  <c r="C65" i="2"/>
  <c r="C58" i="2"/>
  <c r="C56" i="2"/>
  <c r="C53" i="2"/>
  <c r="C48" i="2"/>
  <c r="C47" i="2"/>
  <c r="C46" i="2"/>
  <c r="C45" i="2"/>
  <c r="G558" i="1"/>
  <c r="G557" i="1" s="1"/>
  <c r="G577" i="1"/>
  <c r="G575" i="1"/>
  <c r="H575" i="1"/>
  <c r="G492" i="1"/>
  <c r="G491" i="1" s="1"/>
  <c r="H492" i="1"/>
  <c r="G483" i="1"/>
  <c r="G482" i="1" s="1"/>
  <c r="H483" i="1"/>
  <c r="G465" i="1"/>
  <c r="G464" i="1" s="1"/>
  <c r="H465" i="1"/>
  <c r="G451" i="1"/>
  <c r="G450" i="1" s="1"/>
  <c r="H451" i="1"/>
  <c r="G448" i="1"/>
  <c r="G447" i="1" s="1"/>
  <c r="H448" i="1"/>
  <c r="D18" i="3"/>
  <c r="C180" i="2"/>
  <c r="C193" i="2"/>
  <c r="C166" i="2"/>
  <c r="C145" i="2"/>
  <c r="C142" i="2"/>
  <c r="C141" i="2"/>
  <c r="C110" i="2"/>
  <c r="C108" i="2"/>
  <c r="C107" i="2"/>
  <c r="C106" i="2"/>
  <c r="C30" i="2"/>
  <c r="C34" i="2"/>
  <c r="C28" i="2"/>
  <c r="C27" i="2"/>
  <c r="C24" i="2"/>
  <c r="C19" i="2"/>
  <c r="C18" i="2"/>
  <c r="C17" i="2"/>
  <c r="C16" i="2"/>
  <c r="H597" i="1"/>
  <c r="G679" i="1"/>
  <c r="G677" i="1"/>
  <c r="G650" i="1"/>
  <c r="H625" i="1"/>
  <c r="J625" i="1" s="1"/>
  <c r="G622" i="1"/>
  <c r="G621" i="1" s="1"/>
  <c r="H622" i="1"/>
  <c r="G594" i="1"/>
  <c r="G593" i="1" s="1"/>
  <c r="H594" i="1"/>
  <c r="G618" i="1"/>
  <c r="G617" i="1" s="1"/>
  <c r="H618" i="1"/>
  <c r="G615" i="1"/>
  <c r="G614" i="1" s="1"/>
  <c r="H615" i="1"/>
  <c r="G585" i="1"/>
  <c r="G584" i="1" s="1"/>
  <c r="G583" i="1" s="1"/>
  <c r="D29" i="3"/>
  <c r="G428" i="1"/>
  <c r="G427" i="1" s="1"/>
  <c r="G425" i="1"/>
  <c r="G424" i="1" s="1"/>
  <c r="H425" i="1"/>
  <c r="G115" i="1"/>
  <c r="G114" i="1" s="1"/>
  <c r="G113" i="1" s="1"/>
  <c r="G112" i="1" s="1"/>
  <c r="G111" i="1" s="1"/>
  <c r="H115" i="1"/>
  <c r="G109" i="1"/>
  <c r="G108" i="1" s="1"/>
  <c r="H109" i="1"/>
  <c r="G106" i="1"/>
  <c r="G105" i="1" s="1"/>
  <c r="H106" i="1"/>
  <c r="D25" i="3"/>
  <c r="H39" i="1"/>
  <c r="G20" i="1"/>
  <c r="H20" i="1"/>
  <c r="J20" i="1" s="1"/>
  <c r="G18" i="1"/>
  <c r="H18" i="1"/>
  <c r="J18" i="1" s="1"/>
  <c r="G32" i="1"/>
  <c r="G31" i="1" s="1"/>
  <c r="G30" i="1" s="1"/>
  <c r="H32" i="1"/>
  <c r="G26" i="3" l="1"/>
  <c r="E30" i="3"/>
  <c r="G30" i="3" s="1"/>
  <c r="H614" i="1"/>
  <c r="J614" i="1" s="1"/>
  <c r="J615" i="1"/>
  <c r="H593" i="1"/>
  <c r="J593" i="1" s="1"/>
  <c r="J594" i="1"/>
  <c r="H596" i="1"/>
  <c r="J596" i="1" s="1"/>
  <c r="J597" i="1"/>
  <c r="H664" i="1"/>
  <c r="J665" i="1"/>
  <c r="H373" i="1"/>
  <c r="J373" i="1" s="1"/>
  <c r="J374" i="1"/>
  <c r="H31" i="1"/>
  <c r="J32" i="1"/>
  <c r="H105" i="1"/>
  <c r="J105" i="1" s="1"/>
  <c r="J106" i="1"/>
  <c r="H114" i="1"/>
  <c r="J115" i="1"/>
  <c r="H447" i="1"/>
  <c r="J447" i="1" s="1"/>
  <c r="J448" i="1"/>
  <c r="H464" i="1"/>
  <c r="J465" i="1"/>
  <c r="H491" i="1"/>
  <c r="J491" i="1" s="1"/>
  <c r="J492" i="1"/>
  <c r="H607" i="1"/>
  <c r="J608" i="1"/>
  <c r="H25" i="1"/>
  <c r="J25" i="1" s="1"/>
  <c r="J26" i="1"/>
  <c r="H617" i="1"/>
  <c r="J617" i="1" s="1"/>
  <c r="J618" i="1"/>
  <c r="H621" i="1"/>
  <c r="J621" i="1" s="1"/>
  <c r="J622" i="1"/>
  <c r="H435" i="1"/>
  <c r="J436" i="1"/>
  <c r="H628" i="1"/>
  <c r="J629" i="1"/>
  <c r="H488" i="1"/>
  <c r="J488" i="1" s="1"/>
  <c r="J489" i="1"/>
  <c r="H313" i="1"/>
  <c r="J313" i="1" s="1"/>
  <c r="J314" i="1"/>
  <c r="H98" i="1"/>
  <c r="J99" i="1"/>
  <c r="G172" i="2"/>
  <c r="I172" i="2" s="1"/>
  <c r="I173" i="2"/>
  <c r="G257" i="2"/>
  <c r="I257" i="2" s="1"/>
  <c r="I258" i="2"/>
  <c r="J288" i="1"/>
  <c r="H287" i="1"/>
  <c r="J287" i="1" s="1"/>
  <c r="E34" i="3"/>
  <c r="H38" i="1"/>
  <c r="J39" i="1"/>
  <c r="H108" i="1"/>
  <c r="J108" i="1" s="1"/>
  <c r="J109" i="1"/>
  <c r="H424" i="1"/>
  <c r="J424" i="1" s="1"/>
  <c r="J425" i="1"/>
  <c r="H450" i="1"/>
  <c r="J450" i="1" s="1"/>
  <c r="J451" i="1"/>
  <c r="H482" i="1"/>
  <c r="J482" i="1" s="1"/>
  <c r="J483" i="1"/>
  <c r="H574" i="1"/>
  <c r="J575" i="1"/>
  <c r="H600" i="1"/>
  <c r="J600" i="1" s="1"/>
  <c r="J601" i="1"/>
  <c r="H668" i="1"/>
  <c r="J669" i="1"/>
  <c r="G250" i="2"/>
  <c r="I250" i="2" s="1"/>
  <c r="I254" i="2"/>
  <c r="H584" i="1"/>
  <c r="J585" i="1"/>
  <c r="H689" i="1"/>
  <c r="J689" i="1" s="1"/>
  <c r="J690" i="1"/>
  <c r="H671" i="1"/>
  <c r="J671" i="1" s="1"/>
  <c r="J672" i="1"/>
  <c r="G463" i="1"/>
  <c r="H312" i="1"/>
  <c r="E46" i="3"/>
  <c r="G46" i="3" s="1"/>
  <c r="H613" i="1"/>
  <c r="J613" i="1" s="1"/>
  <c r="G627" i="1"/>
  <c r="G556" i="1"/>
  <c r="H592" i="1"/>
  <c r="J592" i="1" s="1"/>
  <c r="H445" i="1"/>
  <c r="G288" i="1"/>
  <c r="F26" i="2"/>
  <c r="F257" i="2"/>
  <c r="F256" i="2" s="1"/>
  <c r="G364" i="1"/>
  <c r="G363" i="1" s="1"/>
  <c r="D23" i="3" s="1"/>
  <c r="G56" i="1"/>
  <c r="G55" i="1" s="1"/>
  <c r="G48" i="1" s="1"/>
  <c r="D57" i="3"/>
  <c r="G582" i="1"/>
  <c r="G581" i="1" s="1"/>
  <c r="D16" i="3"/>
  <c r="G676" i="1"/>
  <c r="G39" i="1"/>
  <c r="G38" i="1" s="1"/>
  <c r="G37" i="1" s="1"/>
  <c r="G249" i="2"/>
  <c r="I249" i="2" s="1"/>
  <c r="H420" i="1"/>
  <c r="J420" i="1" s="1"/>
  <c r="G248" i="2"/>
  <c r="I248" i="2" s="1"/>
  <c r="H418" i="1"/>
  <c r="J418" i="1" s="1"/>
  <c r="F164" i="2"/>
  <c r="G597" i="1"/>
  <c r="G596" i="1" s="1"/>
  <c r="G592" i="1" s="1"/>
  <c r="F98" i="2"/>
  <c r="F95" i="2" s="1"/>
  <c r="H371" i="1"/>
  <c r="G147" i="2"/>
  <c r="F217" i="2"/>
  <c r="F115" i="2"/>
  <c r="G444" i="1"/>
  <c r="G434" i="1" s="1"/>
  <c r="F203" i="2"/>
  <c r="F202" i="2" s="1"/>
  <c r="G697" i="1"/>
  <c r="G250" i="1"/>
  <c r="G249" i="1" s="1"/>
  <c r="G247" i="1" s="1"/>
  <c r="G399" i="1"/>
  <c r="G398" i="1" s="1"/>
  <c r="G397" i="1" s="1"/>
  <c r="H398" i="1"/>
  <c r="G152" i="1"/>
  <c r="G151" i="1" s="1"/>
  <c r="H624" i="1"/>
  <c r="H560" i="1"/>
  <c r="G649" i="1"/>
  <c r="G648" i="1" s="1"/>
  <c r="G647" i="1" s="1"/>
  <c r="G625" i="1"/>
  <c r="G624" i="1" s="1"/>
  <c r="G620" i="1" s="1"/>
  <c r="H59" i="1"/>
  <c r="G524" i="1"/>
  <c r="G523" i="1" s="1"/>
  <c r="G522" i="1" s="1"/>
  <c r="G574" i="1"/>
  <c r="G573" i="1" s="1"/>
  <c r="G572" i="1" s="1"/>
  <c r="G571" i="1" s="1"/>
  <c r="D48" i="3" s="1"/>
  <c r="G135" i="2"/>
  <c r="I135" i="2" s="1"/>
  <c r="G17" i="1"/>
  <c r="G16" i="1" s="1"/>
  <c r="G662" i="1"/>
  <c r="G661" i="1" s="1"/>
  <c r="H524" i="1"/>
  <c r="H17" i="1"/>
  <c r="G379" i="1"/>
  <c r="G378" i="1" s="1"/>
  <c r="G377" i="1" s="1"/>
  <c r="G376" i="1" s="1"/>
  <c r="G415" i="1"/>
  <c r="G414" i="1" s="1"/>
  <c r="G413" i="1" s="1"/>
  <c r="F192" i="2"/>
  <c r="G613" i="1"/>
  <c r="G423" i="1"/>
  <c r="G422" i="1" s="1"/>
  <c r="D27" i="3"/>
  <c r="G192" i="2"/>
  <c r="G164" i="2"/>
  <c r="I164" i="2" s="1"/>
  <c r="F246" i="2"/>
  <c r="F242" i="2" s="1"/>
  <c r="G256" i="2"/>
  <c r="I256" i="2" s="1"/>
  <c r="H30" i="1"/>
  <c r="J30" i="1" s="1"/>
  <c r="H104" i="1"/>
  <c r="G104" i="1"/>
  <c r="G103" i="1" s="1"/>
  <c r="G102" i="1" s="1"/>
  <c r="D56" i="3" s="1"/>
  <c r="G29" i="1"/>
  <c r="G28" i="1" s="1"/>
  <c r="H36" i="1"/>
  <c r="J36" i="1" s="1"/>
  <c r="H37" i="1"/>
  <c r="J37" i="1" s="1"/>
  <c r="D46" i="3"/>
  <c r="E33" i="3" l="1"/>
  <c r="G33" i="3" s="1"/>
  <c r="G34" i="3"/>
  <c r="H16" i="1"/>
  <c r="J16" i="1" s="1"/>
  <c r="J17" i="1"/>
  <c r="H620" i="1"/>
  <c r="J620" i="1" s="1"/>
  <c r="J624" i="1"/>
  <c r="H35" i="1"/>
  <c r="J38" i="1"/>
  <c r="H103" i="1"/>
  <c r="J104" i="1"/>
  <c r="G177" i="2"/>
  <c r="I177" i="2" s="1"/>
  <c r="I192" i="2"/>
  <c r="H523" i="1"/>
  <c r="J524" i="1"/>
  <c r="H311" i="1"/>
  <c r="J312" i="1"/>
  <c r="H97" i="1"/>
  <c r="J98" i="1"/>
  <c r="J435" i="1"/>
  <c r="H606" i="1"/>
  <c r="J607" i="1"/>
  <c r="H463" i="1"/>
  <c r="J464" i="1"/>
  <c r="H113" i="1"/>
  <c r="J114" i="1"/>
  <c r="H29" i="1"/>
  <c r="J31" i="1"/>
  <c r="H663" i="1"/>
  <c r="J664" i="1"/>
  <c r="J560" i="1"/>
  <c r="H556" i="1"/>
  <c r="H397" i="1"/>
  <c r="J397" i="1" s="1"/>
  <c r="J398" i="1"/>
  <c r="G144" i="2"/>
  <c r="I144" i="2" s="1"/>
  <c r="I147" i="2"/>
  <c r="H583" i="1"/>
  <c r="J584" i="1"/>
  <c r="H667" i="1"/>
  <c r="J667" i="1" s="1"/>
  <c r="J668" i="1"/>
  <c r="H573" i="1"/>
  <c r="J574" i="1"/>
  <c r="H58" i="1"/>
  <c r="J59" i="1"/>
  <c r="H366" i="1"/>
  <c r="J371" i="1"/>
  <c r="H444" i="1"/>
  <c r="J444" i="1" s="1"/>
  <c r="J445" i="1"/>
  <c r="H627" i="1"/>
  <c r="J627" i="1" s="1"/>
  <c r="J628" i="1"/>
  <c r="H612" i="1"/>
  <c r="G287" i="1"/>
  <c r="D34" i="3"/>
  <c r="D33" i="3" s="1"/>
  <c r="G101" i="1"/>
  <c r="G555" i="1"/>
  <c r="G70" i="2"/>
  <c r="G675" i="1"/>
  <c r="G674" i="1" s="1"/>
  <c r="G673" i="1" s="1"/>
  <c r="G672" i="1" s="1"/>
  <c r="G248" i="1"/>
  <c r="G246" i="1"/>
  <c r="G216" i="1" s="1"/>
  <c r="F94" i="2"/>
  <c r="G591" i="1"/>
  <c r="G590" i="1" s="1"/>
  <c r="G694" i="1"/>
  <c r="G693" i="1" s="1"/>
  <c r="G692" i="1" s="1"/>
  <c r="G691" i="1" s="1"/>
  <c r="F46" i="2"/>
  <c r="F44" i="2" s="1"/>
  <c r="G433" i="1"/>
  <c r="G15" i="1"/>
  <c r="G14" i="1" s="1"/>
  <c r="G13" i="1" s="1"/>
  <c r="D55" i="3"/>
  <c r="G646" i="1"/>
  <c r="D44" i="3" s="1"/>
  <c r="G462" i="1"/>
  <c r="G36" i="1"/>
  <c r="G35" i="1"/>
  <c r="D21" i="3" s="1"/>
  <c r="D20" i="3" s="1"/>
  <c r="F16" i="2"/>
  <c r="G246" i="2"/>
  <c r="F177" i="2"/>
  <c r="H415" i="1"/>
  <c r="G660" i="1"/>
  <c r="D51" i="3"/>
  <c r="D50" i="3" s="1"/>
  <c r="D22" i="3"/>
  <c r="H396" i="1"/>
  <c r="G396" i="1"/>
  <c r="G395" i="1" s="1"/>
  <c r="G394" i="1" s="1"/>
  <c r="G393" i="1" s="1"/>
  <c r="G150" i="1"/>
  <c r="G149" i="1"/>
  <c r="G148" i="1" s="1"/>
  <c r="G128" i="1" s="1"/>
  <c r="G521" i="1"/>
  <c r="G520" i="1" s="1"/>
  <c r="D39" i="3" s="1"/>
  <c r="D41" i="3"/>
  <c r="G362" i="1"/>
  <c r="G361" i="1" s="1"/>
  <c r="G612" i="1"/>
  <c r="G611" i="1" s="1"/>
  <c r="D43" i="3" s="1"/>
  <c r="H379" i="1"/>
  <c r="G412" i="1"/>
  <c r="G411" i="1" s="1"/>
  <c r="G410" i="1" s="1"/>
  <c r="D26" i="3"/>
  <c r="H611" i="1" l="1"/>
  <c r="J612" i="1"/>
  <c r="H57" i="1"/>
  <c r="J58" i="1"/>
  <c r="H555" i="1"/>
  <c r="J556" i="1"/>
  <c r="H414" i="1"/>
  <c r="J415" i="1"/>
  <c r="G52" i="2"/>
  <c r="I52" i="2" s="1"/>
  <c r="I70" i="2"/>
  <c r="H28" i="1"/>
  <c r="J28" i="1" s="1"/>
  <c r="J29" i="1"/>
  <c r="H434" i="1"/>
  <c r="H310" i="1"/>
  <c r="J311" i="1"/>
  <c r="G143" i="2"/>
  <c r="I143" i="2" s="1"/>
  <c r="H15" i="1"/>
  <c r="H365" i="1"/>
  <c r="J366" i="1"/>
  <c r="H572" i="1"/>
  <c r="J573" i="1"/>
  <c r="H378" i="1"/>
  <c r="J378" i="1" s="1"/>
  <c r="J379" i="1"/>
  <c r="H395" i="1"/>
  <c r="J396" i="1"/>
  <c r="H462" i="1"/>
  <c r="J463" i="1"/>
  <c r="J35" i="1"/>
  <c r="H34" i="1"/>
  <c r="J34" i="1" s="1"/>
  <c r="E21" i="3"/>
  <c r="G242" i="2"/>
  <c r="I242" i="2" s="1"/>
  <c r="I246" i="2"/>
  <c r="G46" i="2"/>
  <c r="J583" i="1"/>
  <c r="H582" i="1"/>
  <c r="J663" i="1"/>
  <c r="H662" i="1"/>
  <c r="H112" i="1"/>
  <c r="J113" i="1"/>
  <c r="H604" i="1"/>
  <c r="J606" i="1"/>
  <c r="H96" i="1"/>
  <c r="J97" i="1"/>
  <c r="H522" i="1"/>
  <c r="J523" i="1"/>
  <c r="H102" i="1"/>
  <c r="J103" i="1"/>
  <c r="G461" i="1"/>
  <c r="D38" i="3" s="1"/>
  <c r="G554" i="1"/>
  <c r="G553" i="1" s="1"/>
  <c r="G432" i="1"/>
  <c r="D37" i="3" s="1"/>
  <c r="F43" i="2"/>
  <c r="F261" i="2" s="1"/>
  <c r="D40" i="3"/>
  <c r="G580" i="1"/>
  <c r="D14" i="3"/>
  <c r="G690" i="1"/>
  <c r="G689" i="1" s="1"/>
  <c r="D42" i="3"/>
  <c r="G34" i="1"/>
  <c r="G12" i="1" s="1"/>
  <c r="G16" i="2"/>
  <c r="I16" i="2" s="1"/>
  <c r="D28" i="3"/>
  <c r="D24" i="3" s="1"/>
  <c r="G127" i="1"/>
  <c r="G671" i="1"/>
  <c r="D17" i="3"/>
  <c r="D19" i="3"/>
  <c r="G610" i="1"/>
  <c r="E20" i="3" l="1"/>
  <c r="G20" i="3" s="1"/>
  <c r="G21" i="3"/>
  <c r="E56" i="3"/>
  <c r="G56" i="3" s="1"/>
  <c r="J102" i="1"/>
  <c r="H111" i="1"/>
  <c r="J112" i="1"/>
  <c r="H661" i="1"/>
  <c r="J662" i="1"/>
  <c r="H14" i="1"/>
  <c r="J15" i="1"/>
  <c r="H433" i="1"/>
  <c r="J434" i="1"/>
  <c r="H554" i="1"/>
  <c r="J555" i="1"/>
  <c r="H521" i="1"/>
  <c r="J522" i="1"/>
  <c r="J604" i="1"/>
  <c r="H603" i="1"/>
  <c r="H394" i="1"/>
  <c r="J395" i="1"/>
  <c r="H571" i="1"/>
  <c r="J572" i="1"/>
  <c r="H95" i="1"/>
  <c r="J96" i="1"/>
  <c r="H461" i="1"/>
  <c r="J461" i="1" s="1"/>
  <c r="J462" i="1"/>
  <c r="J365" i="1"/>
  <c r="H364" i="1"/>
  <c r="H309" i="1"/>
  <c r="J310" i="1"/>
  <c r="G44" i="2"/>
  <c r="I44" i="2" s="1"/>
  <c r="I46" i="2"/>
  <c r="H610" i="1"/>
  <c r="J610" i="1" s="1"/>
  <c r="J611" i="1"/>
  <c r="E43" i="3"/>
  <c r="H377" i="1"/>
  <c r="H581" i="1"/>
  <c r="J582" i="1"/>
  <c r="H413" i="1"/>
  <c r="J413" i="1" s="1"/>
  <c r="J414" i="1"/>
  <c r="J57" i="1"/>
  <c r="H56" i="1"/>
  <c r="D47" i="3"/>
  <c r="D45" i="3" s="1"/>
  <c r="G431" i="1"/>
  <c r="G430" i="1" s="1"/>
  <c r="D36" i="3"/>
  <c r="G579" i="1"/>
  <c r="D12" i="3"/>
  <c r="H428" i="1"/>
  <c r="E42" i="3" l="1"/>
  <c r="G42" i="3" s="1"/>
  <c r="G43" i="3"/>
  <c r="H427" i="1"/>
  <c r="J428" i="1"/>
  <c r="E54" i="3"/>
  <c r="J95" i="1"/>
  <c r="H520" i="1"/>
  <c r="J521" i="1"/>
  <c r="E51" i="3"/>
  <c r="J661" i="1"/>
  <c r="H660" i="1"/>
  <c r="J660" i="1" s="1"/>
  <c r="J581" i="1"/>
  <c r="H127" i="1"/>
  <c r="J127" i="1" s="1"/>
  <c r="J309" i="1"/>
  <c r="J571" i="1"/>
  <c r="E48" i="3"/>
  <c r="G48" i="3" s="1"/>
  <c r="H553" i="1"/>
  <c r="J553" i="1" s="1"/>
  <c r="J554" i="1"/>
  <c r="E47" i="3"/>
  <c r="G47" i="3" s="1"/>
  <c r="E17" i="3"/>
  <c r="G17" i="3" s="1"/>
  <c r="J14" i="1"/>
  <c r="H13" i="1"/>
  <c r="E57" i="3"/>
  <c r="J111" i="1"/>
  <c r="H393" i="1"/>
  <c r="J393" i="1" s="1"/>
  <c r="J394" i="1"/>
  <c r="H432" i="1"/>
  <c r="J433" i="1"/>
  <c r="G43" i="2"/>
  <c r="I43" i="2" s="1"/>
  <c r="H55" i="1"/>
  <c r="J56" i="1"/>
  <c r="G101" i="2"/>
  <c r="J603" i="1"/>
  <c r="H599" i="1"/>
  <c r="H376" i="1"/>
  <c r="J376" i="1" s="1"/>
  <c r="J377" i="1"/>
  <c r="J364" i="1"/>
  <c r="H363" i="1"/>
  <c r="H101" i="1"/>
  <c r="J101" i="1" s="1"/>
  <c r="D58" i="3"/>
  <c r="E38" i="3"/>
  <c r="G38" i="3" s="1"/>
  <c r="G710" i="1"/>
  <c r="E55" i="3" l="1"/>
  <c r="G55" i="3" s="1"/>
  <c r="G57" i="3"/>
  <c r="E50" i="3"/>
  <c r="G50" i="3" s="1"/>
  <c r="G51" i="3"/>
  <c r="E53" i="3"/>
  <c r="G53" i="3" s="1"/>
  <c r="G54" i="3"/>
  <c r="E45" i="3"/>
  <c r="G45" i="3" s="1"/>
  <c r="E23" i="3"/>
  <c r="J363" i="1"/>
  <c r="H362" i="1"/>
  <c r="J55" i="1"/>
  <c r="H48" i="1"/>
  <c r="J48" i="1" s="1"/>
  <c r="E28" i="3"/>
  <c r="E24" i="3" s="1"/>
  <c r="J13" i="1"/>
  <c r="G99" i="2"/>
  <c r="I101" i="2"/>
  <c r="H591" i="1"/>
  <c r="J599" i="1"/>
  <c r="H431" i="1"/>
  <c r="J520" i="1"/>
  <c r="E39" i="3"/>
  <c r="G39" i="3" s="1"/>
  <c r="H423" i="1"/>
  <c r="J427" i="1"/>
  <c r="J432" i="1"/>
  <c r="E37" i="3"/>
  <c r="G37" i="3" s="1"/>
  <c r="D60" i="3"/>
  <c r="F263" i="2"/>
  <c r="G115" i="2"/>
  <c r="I115" i="2" s="1"/>
  <c r="G24" i="3" l="1"/>
  <c r="G28" i="3"/>
  <c r="E22" i="3"/>
  <c r="G22" i="3" s="1"/>
  <c r="G23" i="3"/>
  <c r="H590" i="1"/>
  <c r="J591" i="1"/>
  <c r="H430" i="1"/>
  <c r="J430" i="1" s="1"/>
  <c r="J431" i="1"/>
  <c r="G94" i="2"/>
  <c r="I94" i="2" s="1"/>
  <c r="I99" i="2"/>
  <c r="H422" i="1"/>
  <c r="J423" i="1"/>
  <c r="H12" i="1"/>
  <c r="J12" i="1" s="1"/>
  <c r="H361" i="1"/>
  <c r="J361" i="1" s="1"/>
  <c r="J362" i="1"/>
  <c r="G261" i="2"/>
  <c r="I261" i="2" s="1"/>
  <c r="E40" i="3" l="1"/>
  <c r="J590" i="1"/>
  <c r="H580" i="1"/>
  <c r="H412" i="1"/>
  <c r="J422" i="1"/>
  <c r="E36" i="3" l="1"/>
  <c r="G36" i="3" s="1"/>
  <c r="G40" i="3"/>
  <c r="J412" i="1"/>
  <c r="E19" i="3"/>
  <c r="H411" i="1"/>
  <c r="H579" i="1"/>
  <c r="J579" i="1" s="1"/>
  <c r="J580" i="1"/>
  <c r="E12" i="3" l="1"/>
  <c r="G19" i="3"/>
  <c r="H410" i="1"/>
  <c r="J411" i="1"/>
  <c r="E58" i="3" l="1"/>
  <c r="G58" i="3" s="1"/>
  <c r="G12" i="3"/>
  <c r="J410" i="1"/>
  <c r="H710" i="1"/>
  <c r="E60" i="3" l="1"/>
  <c r="J710" i="1"/>
  <c r="G263" i="2"/>
</calcChain>
</file>

<file path=xl/sharedStrings.xml><?xml version="1.0" encoding="utf-8"?>
<sst xmlns="http://schemas.openxmlformats.org/spreadsheetml/2006/main" count="2949" uniqueCount="597">
  <si>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</si>
  <si>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</si>
  <si>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</si>
  <si>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</si>
  <si>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</si>
  <si>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</si>
  <si>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</si>
  <si>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</si>
  <si>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</si>
  <si>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</si>
  <si>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</si>
  <si>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</si>
  <si>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</si>
  <si>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</si>
  <si>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</si>
  <si>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</si>
  <si>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</si>
  <si>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</si>
  <si>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</si>
  <si>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</si>
  <si>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</si>
  <si>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Мобилизационная и вневойсковая подготовка</t>
  </si>
  <si>
    <t>Непрограммные расходы отдельных органов исполнительной власти</t>
  </si>
  <si>
    <t>Общеэкономические вопросы</t>
  </si>
  <si>
    <t>Иные 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</si>
  <si>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</si>
  <si>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</si>
  <si>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Дотации</t>
  </si>
  <si>
    <t>Прочие межбюджетные трансферты общего характера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</si>
  <si>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</si>
  <si>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</si>
  <si>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</si>
  <si>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</si>
  <si>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</si>
  <si>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</si>
  <si>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</si>
  <si>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</si>
  <si>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</si>
  <si>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Отдельное мероприятие программы</t>
  </si>
  <si>
    <t>Транспорт</t>
  </si>
  <si>
    <t>Сельское хозяйство и рыболовство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</si>
  <si>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</si>
  <si>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Муниципальная программа "Развитие транспортной системы в Мотыгинском районе"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</si>
  <si>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</si>
  <si>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</si>
  <si>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</si>
  <si>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Другие вопросы в области национальной экономики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</si>
  <si>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</si>
  <si>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</si>
  <si>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</si>
  <si>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</si>
  <si>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</si>
  <si>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</si>
  <si>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</si>
  <si>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</si>
  <si>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0 340000000</t>
  </si>
  <si>
    <t>Муниципальная программа " Обеспечение доступным и комфортным жильем в Мотыгинском районе "</t>
  </si>
  <si>
    <t>Охрана семьи и детства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</si>
  <si>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</si>
  <si>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 xml:space="preserve">Другие общегосударственные вопросы </t>
  </si>
  <si>
    <t>Подпрограмма "Развитие архивного дела в Мотыгинском районе"</t>
  </si>
  <si>
    <t>Обеспечение деятельности архивного фонда в Мотыгинском районе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</si>
  <si>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</si>
  <si>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</si>
  <si>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</si>
  <si>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</si>
  <si>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Субсидии бюджетным учреждениям</t>
  </si>
  <si>
    <t>Культура</t>
  </si>
  <si>
    <t>Подпрограмма "Культурное наследие"</t>
  </si>
  <si>
    <t>Подпрограмма "Искусство и народное творчество"</t>
  </si>
  <si>
    <t>Молодежная политика и оздоровление детей</t>
  </si>
  <si>
    <t>Муниципальная программа "Молодежь Мотыгинского района в ХХ1 веке"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</si>
  <si>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</si>
  <si>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</si>
  <si>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Руководство и управление в сфере установленных функций органов исполнительной власти 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</si>
  <si>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</si>
  <si>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</si>
  <si>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</si>
  <si>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Другие вопросы в области социальной политики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</si>
  <si>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</si>
  <si>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</si>
  <si>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Всего</t>
  </si>
  <si>
    <t>Раздел, подраздел</t>
  </si>
  <si>
    <t>Наименование показателя бюджетной классификации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</si>
  <si>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</si>
  <si>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</si>
  <si>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</si>
  <si>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</si>
  <si>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</si>
  <si>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</si>
  <si>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</si>
  <si>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</si>
  <si>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</si>
  <si>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</si>
  <si>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</si>
  <si>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</si>
  <si>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</si>
  <si>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</si>
  <si>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</si>
  <si>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</si>
  <si>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</si>
  <si>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</si>
  <si>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</si>
  <si>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</si>
  <si>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</si>
  <si>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</si>
  <si>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</si>
  <si>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</si>
  <si>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</si>
  <si>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</si>
  <si>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</si>
  <si>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</si>
  <si>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</si>
  <si>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</si>
  <si>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</si>
  <si>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</si>
  <si>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</si>
  <si>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</si>
  <si>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</si>
  <si>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</si>
  <si>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</si>
  <si>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</si>
  <si>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</si>
  <si>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</si>
  <si>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</si>
  <si>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</si>
  <si>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1003</t>
  </si>
  <si>
    <t>1006</t>
  </si>
  <si>
    <t>1400</t>
  </si>
  <si>
    <t>1401</t>
  </si>
  <si>
    <t>1403</t>
  </si>
  <si>
    <t>ВСЕГО</t>
  </si>
  <si>
    <t/>
  </si>
  <si>
    <t>Подпрограмма "Развитие дошкольного образования"</t>
  </si>
  <si>
    <t>Подпрограмма «Развитие  общего образования»</t>
  </si>
  <si>
    <t>Подпрограмма «Развитие дополнительного образования детей»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</si>
  <si>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</si>
  <si>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Отдельные мероприятия программы</t>
  </si>
  <si>
    <t>Подпрограмма "Безопасность дорожного движения в Мотыгинском районе 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</si>
  <si>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</si>
  <si>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</si>
  <si>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</si>
  <si>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</si>
  <si>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</si>
  <si>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</si>
  <si>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</si>
  <si>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</si>
  <si>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</si>
  <si>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Итого</t>
  </si>
  <si>
    <t>Приложение № 5</t>
  </si>
  <si>
    <t>к решению Мотыгинского районного</t>
  </si>
  <si>
    <t>099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</si>
  <si>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</si>
  <si>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</si>
  <si>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</si>
  <si>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Судебная система</t>
  </si>
  <si>
    <t>Дополнительное образование</t>
  </si>
  <si>
    <t>094</t>
  </si>
  <si>
    <t>0105</t>
  </si>
  <si>
    <t>Дополнительное образование детей</t>
  </si>
  <si>
    <t>Молодежная политика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</si>
  <si>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</si>
  <si>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</t>
  </si>
  <si>
    <t>951</t>
  </si>
  <si>
    <t>1004</t>
  </si>
  <si>
    <t>0703</t>
  </si>
  <si>
    <t>0500000000</t>
  </si>
  <si>
    <t>0520000000</t>
  </si>
  <si>
    <t>0520000210</t>
  </si>
  <si>
    <t>0700000000</t>
  </si>
  <si>
    <t>0710000000</t>
  </si>
  <si>
    <t>0730000000</t>
  </si>
  <si>
    <t>0510000000</t>
  </si>
  <si>
    <t>0510076010</t>
  </si>
  <si>
    <t>0510050010</t>
  </si>
  <si>
    <t>0510050030</t>
  </si>
  <si>
    <t>0600000000</t>
  </si>
  <si>
    <t>0610000000</t>
  </si>
  <si>
    <t>0900000000</t>
  </si>
  <si>
    <t>0790000000</t>
  </si>
  <si>
    <t>0790075770</t>
  </si>
  <si>
    <t>0790075700</t>
  </si>
  <si>
    <t>0300000000</t>
  </si>
  <si>
    <t>0340000000</t>
  </si>
  <si>
    <t>0340075520</t>
  </si>
  <si>
    <t>0800000000</t>
  </si>
  <si>
    <t>0810000000</t>
  </si>
  <si>
    <t>0200000000</t>
  </si>
  <si>
    <t>0220000000</t>
  </si>
  <si>
    <t>0220000610</t>
  </si>
  <si>
    <t>0220075190</t>
  </si>
  <si>
    <t>0620000000</t>
  </si>
  <si>
    <t>0310000000</t>
  </si>
  <si>
    <t>0310000610</t>
  </si>
  <si>
    <t>0310074080</t>
  </si>
  <si>
    <t>0310075880</t>
  </si>
  <si>
    <t>0310075540</t>
  </si>
  <si>
    <t>0320000000</t>
  </si>
  <si>
    <t>0320000610</t>
  </si>
  <si>
    <t>0320074090</t>
  </si>
  <si>
    <t>0320075640</t>
  </si>
  <si>
    <t>0330000000</t>
  </si>
  <si>
    <t>0330000660</t>
  </si>
  <si>
    <t>0340000610</t>
  </si>
  <si>
    <t>0340075560</t>
  </si>
  <si>
    <t>0320075660</t>
  </si>
  <si>
    <t>0240000000</t>
  </si>
  <si>
    <t>0240000610</t>
  </si>
  <si>
    <t>0400000000</t>
  </si>
  <si>
    <t>0420000000</t>
  </si>
  <si>
    <t>0210000000</t>
  </si>
  <si>
    <t>0210000610</t>
  </si>
  <si>
    <t>0210000630</t>
  </si>
  <si>
    <t>0230000000</t>
  </si>
  <si>
    <t>0230000650</t>
  </si>
  <si>
    <t>0230000660</t>
  </si>
  <si>
    <t xml:space="preserve">МУНИЦИПАЛЬНАЯ ПРОГРАММА МОТЫГИНСКОГО РАЙОНА "РАЗВИТИЕ КУЛЬТУРЫ И ТУРИЗМА" </t>
  </si>
  <si>
    <t>МУНИЦИПАЛЬНАЯ ПРОГРАММА МОТЫГИНСКОГО РАЙОНА «РАЗВИТИЕ ОБЩЕГО И ДОПОЛНИТЕЛЬНОГО ОБРАЗОВАНИЯ В МОТЫГИНСКОМ РАЙОНЕ »</t>
  </si>
  <si>
    <t>МУНИЦИПАЛЬНАЯ ПРОГРАММА "МОЛОДЕЖЬ МОТЫГИНСКОГО РАЙОНА В ХХ1 ВЕКЕ"</t>
  </si>
  <si>
    <t xml:space="preserve">МУНИЦИПАЛЬНАЯ ПРОГРАММА МОТЫГИНСКОГО РАЙОНА "УПРАВЛЕНИЕ МУНИЦИПАЛЬНЫМИ ФИНАНСАМИ" </t>
  </si>
  <si>
    <t>МУНИЦИПАЛЬНАЯ ПРОГРАММА "СОДЕЙСТВИЕ РАЗВИТИЮ МЕСТНОГО САМОУПРАВЛЕНИЯ"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</si>
  <si>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</si>
  <si>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</si>
  <si>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"РАЗВИТИЕ ТРАНСПОРТНОЙ СИСТЕМЫ В МОТЫГИНСКОМ РАЙОНЕ".</t>
  </si>
  <si>
    <t>МУНИЦИПАЛЬНАЯ ПРОГРАММА "ОБЕСПЕЧЕНИЕ ДОСТУПНЫМ И КОМФОРТНЫМ ЖИЛЬЕМ ЖИТЕЛЕЙ МОТЫГИНСКОГО РАЙОНА"</t>
  </si>
  <si>
    <t>НЕПРОГРАММНЫЕ РАСХОДЫ ОРГАНОВ ИСПОЛНИТЕЛЬНОЙ ВЛАСТИ</t>
  </si>
  <si>
    <t>ФИНАНСОВО-ЭКОНОМИЧЕСКОЕ УПРАВЛЕНИЕ АДМИНИСТРАЦИИ МОТЫГИНСКОГО РАЙОНА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</si>
  <si>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</si>
  <si>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</si>
  <si>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АДМИНИСТРАЦИЯ МОТЫГИНСКОГО РАЙОНА</t>
  </si>
  <si>
    <t>МУНИЦИПАЛЬНОЕ КАЗЁННОЕ УЧРЕЖДЕНИЕ "ЕДИНАЯ ДЕЖУРНО-ДИСПЕТЧЕРСКАЯ СЛУЖБА" МОТЫГИНСКОГО РАЙОНА</t>
  </si>
  <si>
    <t>МУНИЦИПАЛЬНОЕ КАЗЕННОЕ УЧРЕЖДЕНИЕ "МОТЫГИНСКИЙ РАЙОННЫЙ АРХИВ"</t>
  </si>
  <si>
    <t>МУНИЦИПАЛЬНОЕ КАЗЕННОЕ УЧРЕЖДЕНИЕ "ЦЕНТРАЛИЗОВАННАЯ БУХГАЛТЕРИЯ МУНИЦИПАЛЬНОГО ОБРАЗОВАНИЯ МОТЫГИНСКИЙ РАЙОН"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</si>
  <si>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</si>
  <si>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</si>
  <si>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КОНТРОЛЬНО-СЧЕТНЫЙ ОРГАН МОТЫГИНСКОГО РАЙОНА</t>
  </si>
  <si>
    <t>МОТЫГИНСКИЙ РАЙОННЫЙ СОВЕТ ДЕПУТАТОВ</t>
  </si>
  <si>
    <t>Подпрограмма "Развитие внутреннего и въездного туризма"</t>
  </si>
  <si>
    <t>0250000000</t>
  </si>
  <si>
    <t>0410000000</t>
  </si>
  <si>
    <t>0430000000</t>
  </si>
  <si>
    <t>0720000000</t>
  </si>
  <si>
    <t>Реализация мероприятий на проведение и организацию акарицидных обработок мест массового отдыха населения</t>
  </si>
  <si>
    <t>0320076490</t>
  </si>
  <si>
    <t>Совета депутатов</t>
  </si>
  <si>
    <t>МУНИЦИПАЛЬНАЯ ПРОГРАММА "РАЗВИТИЕ ФИЗИЧЕСКОЙ КУЛЬТУРЫ И СПОРТА НА ТЕРРИТОРИИ МОТЫГИНСКОГО РАЙОНА"</t>
  </si>
  <si>
    <t>Физическая культура и спорт</t>
  </si>
  <si>
    <t>Физическая культура</t>
  </si>
  <si>
    <t>1100</t>
  </si>
  <si>
    <t>Муниципальная программа "Развитие физической культуры и спорта на территории Мотыгинского района"</t>
  </si>
  <si>
    <t>1101</t>
  </si>
  <si>
    <t>ФИЗИЧЕСКАЯ КУЛЬТУРА И СПОРТ</t>
  </si>
  <si>
    <t>Подпрограмма "Содержание автомобильных дорог общего пользования местного значения"</t>
  </si>
  <si>
    <t>Непрограммные расходы администрации Мотыгинского района</t>
  </si>
  <si>
    <t>Функционирование администрации Мотыгинского района</t>
  </si>
  <si>
    <t>Глава муниципального образования в рамках непрограммных расходов администрации Мотыгинского района</t>
  </si>
  <si>
    <t>8500000000</t>
  </si>
  <si>
    <t>8510000000</t>
  </si>
  <si>
    <t>8510000220</t>
  </si>
  <si>
    <t>Функционирование финансово-экономического управления администрации Мотыгинского района</t>
  </si>
  <si>
    <t>0690084020</t>
  </si>
  <si>
    <t>85100S5550</t>
  </si>
  <si>
    <t>Муниципальная программа " Обеспечение доступным и комфортным жильем жителей в Мотыгинского района"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</si>
  <si>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</si>
  <si>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Подпрограмма "Обеспечение реализации муниципальной программы"</t>
  </si>
  <si>
    <t>Субсидии юридическим лицам (за исключением государственных и  муниципальных учреждений) и 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регулированием тарифов на перевозки пассажиров внутренним водным транспортом в местном сообщении</t>
  </si>
  <si>
    <t>Реализация отдельных мер по обеспечению ограничения платы граждан за коммунальные услуги</t>
  </si>
  <si>
    <t>11200L4970</t>
  </si>
  <si>
    <t>9100000000</t>
  </si>
  <si>
    <t>9170000000</t>
  </si>
  <si>
    <t>Функционирование централизованной бухгалтерии муниципального образования Мотыгинский район</t>
  </si>
  <si>
    <t>Непрограммные расходы казенных учреждений</t>
  </si>
  <si>
    <t>9170000610</t>
  </si>
  <si>
    <t>Непрограммные расходы Контрольно-счетного органа Мотыгинского района</t>
  </si>
  <si>
    <t>Функционирование Контрольно-счетного органа Мотыгинского района</t>
  </si>
  <si>
    <t>Функционирование Мотыгинского районного Совета депутатов</t>
  </si>
  <si>
    <t>Муниципальная программа  "Содействие развитию местного самоуправления"</t>
  </si>
  <si>
    <t>МУНИЦИПАЛЬНОЕ КАЗЕННОЕ УЧРЕЖДЕНИЕ "СЛУЖБА ЗЕМЕЛЬНО-ИМУЩЕСТВЕННЫХ ОТНОШЕНИЙ  МОТЫГИНСКОГО РАЙОНА"</t>
  </si>
  <si>
    <t>Функционирование службы земельно-имущественных отношений Мотыгинского района</t>
  </si>
  <si>
    <t>0610000850</t>
  </si>
  <si>
    <t>0610017110</t>
  </si>
  <si>
    <t>Муниципальная программа "Содействие развитию местного самоуправления""</t>
  </si>
  <si>
    <t>Организация общественных работ на территории Мотыгинского района, обеспечивающих временную занятость и материальную поддержку безработных граждан</t>
  </si>
  <si>
    <t>Предоставление выпадающих доходов , возникающих в результате поставки населению по регулируемым ценам (тарифам) электрической энергии, вырабатываемой дизельными электростанциями</t>
  </si>
  <si>
    <t>0810000610</t>
  </si>
  <si>
    <t>Финансирование расходов на содержание единых дежурно-диспетчерских служб</t>
  </si>
  <si>
    <t>08100S4130</t>
  </si>
  <si>
    <t>Подпрограмма "Благоустройство территорий поселений"</t>
  </si>
  <si>
    <t>0240000660</t>
  </si>
  <si>
    <t>0690000000</t>
  </si>
  <si>
    <t>Подпрограмма "Осуществление деятельности по обеспечению безопасности в чрезвычайных ситуациях"</t>
  </si>
  <si>
    <t>08200000000</t>
  </si>
  <si>
    <t>Подпрограмма "Капитальный ремонт и ремонт автомобильных дорог общего пользования местного значения"</t>
  </si>
  <si>
    <t>НЕПРОГРАММГЫЕ РАСХОДЫ АДМИНИСТРАЦИИ МОТЫГИНСКОГО РАЙОНА</t>
  </si>
  <si>
    <t>НЕПРОГРАММНЫЕ РАХОДЫ КАЗЕННЫХ УЧРЕЖДЕНИЙ</t>
  </si>
  <si>
    <t>Обеспечение деятельности подведомственных учреждений в рамках непрограммных расходов</t>
  </si>
  <si>
    <t>НЕПРОГРАММНЫЕ РАСХОДЫ КОНТРОЛЬНО-СЧЕТНОГО ОРГАНА МОТЫГИНСКОГО РАЙОНА</t>
  </si>
  <si>
    <t>Подпрограмма «Вовлечение молодежи Мотыгинского района в социальную практику "</t>
  </si>
  <si>
    <t>0410000610</t>
  </si>
  <si>
    <t>04100S4560</t>
  </si>
  <si>
    <t>952</t>
  </si>
  <si>
    <t>0420086030</t>
  </si>
  <si>
    <t>0430086060</t>
  </si>
  <si>
    <t>Подпрограмма "Патриотическое воспитание молодежи Мотыгинского района"</t>
  </si>
  <si>
    <t>Муниципальная программа "Содействие развитию местного самоуправления"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</si>
  <si>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</si>
  <si>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Подпрограмма " Чистая вода Мотыгинского района"</t>
  </si>
  <si>
    <t>Подпрограмма " Энергосбережение и повышение энергетической эффективности Мотыгинского района"</t>
  </si>
  <si>
    <t>Подпрограмма "Развитие воздушного, водного и автомобильного пассажирского транспорта."</t>
  </si>
  <si>
    <t>Подпрограмма "Содержание автомобильных дорог общего пользования местного значения "</t>
  </si>
  <si>
    <t>Подпрограмма "Развитие массовой физической культуры и спорта на территории Мотыгинского района"</t>
  </si>
  <si>
    <t>Подпрограмма "Внедрение Всероссийского физкультурно-спортивного комплекса "Готов к труду и обороне" (ГТО) в Мотыгинском районе"</t>
  </si>
  <si>
    <t xml:space="preserve">Муниципальная программа  "Развитие культуры и туризма" </t>
  </si>
  <si>
    <t xml:space="preserve">Муниципальная программа "Развитие культуры и туризма" </t>
  </si>
  <si>
    <t>Подпрограмма "Обеспечение реализации общественных и гражданских инициатив и поддержка социально-ориентированных некоммерческих организаций "</t>
  </si>
  <si>
    <t>Муниципальная программа Мотыгинского района "Управление муниципальными финансами"</t>
  </si>
  <si>
    <t>Непрограммные расходы представительного органа власти</t>
  </si>
  <si>
    <t xml:space="preserve">Депутаты представительного органа </t>
  </si>
  <si>
    <t>957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</si>
  <si>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непрограммных расходов представительного органа власти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</si>
  <si>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представительного органа власти</t>
  </si>
  <si>
    <t>Осуществление части полномочий по исполнению бюджета поселения, ведения бухгалтерского учета и формирования бюджетной отчетности</t>
  </si>
  <si>
    <t>9170084560</t>
  </si>
  <si>
    <t xml:space="preserve">Субвенции бюджетам муниципальных образований на осуществление государственных полномочий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</si>
  <si>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>Муниципальная программа "Развитие культуры и туризма"</t>
  </si>
  <si>
    <t xml:space="preserve">Обеспечение деятельности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</si>
  <si>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 xml:space="preserve">Обеспечение деятельности подведомственных учреждений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 </t>
  </si>
  <si>
    <t>НЕПРОГРАММНЫЕ РАСХОДЫ ПРЕДСТАВИТЕЛЬНЫХ ОРГАНОВ ВЛАСТИ</t>
  </si>
  <si>
    <t xml:space="preserve"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</si>
  <si>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</si>
  <si>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</si>
  <si>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</si>
  <si>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Обеспечение деятельности (оказание услуг) подведомственных учреждений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</si>
  <si>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 xml:space="preserve">Субвенции бюджетам муниципальных образований  на осуществление государственных полномочий по обеспечению отдыха и оздоровления детей в рамках подпрограммы "Развитие общего образования" муниципальной программы «Развитие общего и дополнительного образования в Мотыгинском районе » 
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</si>
  <si>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</si>
  <si>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</si>
  <si>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Руководство и управление в сфере делегированных полномочий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</si>
  <si>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</si>
  <si>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</si>
  <si>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</si>
  <si>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туризма"</t>
  </si>
  <si>
    <t>Обеспечение деятельности, содержание МБУ "Молодежный центр Мотыгинского района 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</si>
  <si>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>Создание условий для развития и совершенствования системы патриотического воспитания молодежи Мотыгинского района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</si>
  <si>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Содействие формированию пространства, способствующего развитию гражданских инициатив и поддержка социально-ориентированных некоммерческих организаций на территории Мотыгинского района  в рамках подпрограммы "Обеспечение реализации общественных и гражданских инициатив и поддержка социально-ориентированных некоммерческих организаций " муниципальной программа "Молодежь Мотыгинского района в ХХ1 веке"</t>
  </si>
  <si>
    <t xml:space="preserve">Обеспечение деятельности (оказание услуг) подведомственных учреждений  (развитие библиотечного дела) в рамках подпрограммы "Культурное наследие"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</si>
  <si>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(музей) в рамках подпрограммы "Культурное наследие" 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</si>
  <si>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(СКЦ) в рамках подпрограммы "Искусство и народное творчество"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</si>
  <si>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(СДК) в рамках подпрограммы "Искусство и народное творчество" муниципальной программы  "Развитие культуры и туризма" </t>
  </si>
  <si>
    <t xml:space="preserve">Комплектование книжных фондов библиотек  муниципального образования Мотыгинский район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</si>
  <si>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0110000000</t>
  </si>
  <si>
    <t>0110080070</t>
  </si>
  <si>
    <t>0120000000</t>
  </si>
  <si>
    <t>0120080080</t>
  </si>
  <si>
    <t>Реализация комплекса мер, направленных на стимулирование и вовлечение населения в занятия физической культурой и спортом в рамках подпрограммы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</si>
  <si>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Создание условий для развития и популяризации комплекса ГТО на территории Мотыгинского района в рамках подпрограммы "Внедрение Всероссийского физкультурно-спортивного комплекса "Готов к труду и обороне" (ГТО) в Мотыгинском районе" муниципальной программы "Развитие физической культуры и спорта на территории Мотыгинского района"</t>
  </si>
  <si>
    <t>0100000000</t>
  </si>
  <si>
    <t>Поддержка деятельности муниципальных молодежных центров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</si>
  <si>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 xml:space="preserve">Руководство и управление в сфере установленных функций органов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</si>
  <si>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</si>
  <si>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03200S5630</t>
  </si>
  <si>
    <t>Оценка недвижимости , признание прав и регулирование отношений по государственной и муниципальной собственности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</si>
  <si>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Мероприятия по землеустройству и землепользованию  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</si>
  <si>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</si>
  <si>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</si>
  <si>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0520000220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</si>
  <si>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</si>
  <si>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Предоставление дотаций на выравнивание бюджетной обеспеченности муниципальных образований Мотыгинского района счет средств районного  бюджета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</si>
  <si>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Жилищное хозяйство</t>
  </si>
  <si>
    <t>0501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</si>
  <si>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 в рамках непрограммных расходов администрации Мотыгинского района</t>
  </si>
  <si>
    <t>8510000250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</si>
  <si>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администрации Мотыгинского района</t>
  </si>
  <si>
    <t>Муниципальная программа "Развитие малого, среднего предпринимательства и  сельского хозяйства в Мотыгинском районе"</t>
  </si>
  <si>
    <t>0920000000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</si>
  <si>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</t>
  </si>
  <si>
    <t>0310</t>
  </si>
  <si>
    <t>МУНИЦИПАЛЬНАЯ ПРОГРАММА "РАЗВИТИЕ МАЛОГО,СРЕДНЕГО ПРЕДПРИНИМАТЕЛЬСТВА И СЕЛЬСКОГО ХОЗЯЙСТВА В МОТЫГИНСКОМ РАЙОНЕ"</t>
  </si>
  <si>
    <t>0910000000</t>
  </si>
  <si>
    <t>Подпрограмма "Эффективное управление муниципальной собственностью и земельными ресурсами на территории Мотыгинского района"</t>
  </si>
  <si>
    <t>0630000000</t>
  </si>
  <si>
    <t>09100S6070</t>
  </si>
  <si>
    <t>Субвенции бюджетам муниципальных образований на осуществление деятельности по опеке и попечительству в отношении совершеннолетних граждан, а также в сфере патронажа</t>
  </si>
  <si>
    <t>Оплата взносов за капитальный ремонт региональному фонду</t>
  </si>
  <si>
    <t>Подпрограмма "Обеспечение реализации и прочие мероприятия"</t>
  </si>
  <si>
    <t>Исполнение полномочий района по предоставлению выплаты пенсии за выслугу лет  лицам, замещавшим муниципальные должности муниципальной службы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</si>
  <si>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0630001110</t>
  </si>
  <si>
    <t>Публичные нормативные социальные выплаты гражданам</t>
  </si>
  <si>
    <t>0630080010</t>
  </si>
  <si>
    <t>Предоставление адресной материальной помощи ко Дню Победы 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</si>
  <si>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0630080020</t>
  </si>
  <si>
    <t xml:space="preserve">Комплектование книжных фондов библиотек Мотыгинского района  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</si>
  <si>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</si>
  <si>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Председатель представительного органа муниципальной власти муниципального района в рамках непрограммных расходов представительного органа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</si>
  <si>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</si>
  <si>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Мотыгинского района</t>
  </si>
  <si>
    <t>Предоставление дотаций на выравнивание бюджетной обеспеченности муниципальных образований Мотыгинского района  за счет средств субвенции из краевого бюджета на осуществление отдельных государственных полномочий по расчету и предоставлению дотаций поселениям 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</si>
  <si>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Иной межбюджетный трансферт для регулирования сбалансированности бюджетов поселений при осуществлении полномочий по решению вопросов местного значения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</si>
  <si>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Подпрограмма "Профилактика правонарушений и укрепление общественного порядка и общественной безопасности"</t>
  </si>
  <si>
    <t>Осуществление части полномочий по градостроительной деятельности</t>
  </si>
  <si>
    <t>02400S4880</t>
  </si>
  <si>
    <t>Обслуживание государственного внутреннего и муниципального долга</t>
  </si>
  <si>
    <t>1301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</si>
  <si>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</si>
  <si>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</si>
  <si>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</si>
  <si>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МУНИЦИПАЛЬЕНОГО ДОЛГА</t>
  </si>
  <si>
    <t>Обслуживание государственного и внутреннего долга</t>
  </si>
  <si>
    <t>Охрана окружающей среды</t>
  </si>
  <si>
    <t>0600</t>
  </si>
  <si>
    <t>0603</t>
  </si>
  <si>
    <t>ОХРАНА ОКРУЖАЮЩЕЙ СРЕДЫ</t>
  </si>
  <si>
    <t>Охрана объектов растительного и животного мира среды их обитания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</si>
  <si>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</si>
  <si>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03200L3040</t>
  </si>
  <si>
    <t>Другие вопросы в области охраны окружающей среды</t>
  </si>
  <si>
    <t>0605</t>
  </si>
  <si>
    <t>Содержание объектов жилищного фонда в рамках подпрограммы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 муниципальной программы  "Обеспечение доступным и комфортным жильем жителей Мотыгинского района"</t>
  </si>
  <si>
    <t>Содержание объектов недвижимого имущества, за исключением объектов жилищного фонда в рамках непрограммных расходов администрации Мотыгинского района</t>
  </si>
  <si>
    <t>от ________ № _______</t>
  </si>
  <si>
    <t>04200S4540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</si>
  <si>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</si>
  <si>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'Развитие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</si>
  <si>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0330000670</t>
  </si>
  <si>
    <t>Субсидии автономным учреждениям</t>
  </si>
  <si>
    <t>'Иные бюджетные ассигнования</t>
  </si>
  <si>
    <t>'Субсидии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</si>
  <si>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трудовому воспитанию несовершеннолетних</t>
  </si>
  <si>
    <t>0410086040</t>
  </si>
  <si>
    <t>'Защита населения и территории от чрезвычайных ситуаций природного и техногенного характера, гражданская оборона</t>
  </si>
  <si>
    <t>0820000000</t>
  </si>
  <si>
    <t>Профилактика правонарушений на территории муниципального образования Мотыгинский район</t>
  </si>
  <si>
    <t>0820091020</t>
  </si>
  <si>
    <t>0820091030</t>
  </si>
  <si>
    <t>0810091010</t>
  </si>
  <si>
    <t>0820091040</t>
  </si>
  <si>
    <t>'Осуществление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</t>
  </si>
  <si>
    <t>'Профилактика терроризма и экстремизма на территории муниципального образования Мотыгинский район</t>
  </si>
  <si>
    <t>'Противодействие незаконному обороту наркотических средств</t>
  </si>
  <si>
    <t>'Проведение мероприятий по трудовому воспитанию несовершеннолетних</t>
  </si>
  <si>
    <t>Приложение № 3</t>
  </si>
  <si>
    <t>от ___________ № _________</t>
  </si>
  <si>
    <t xml:space="preserve">'Обеспечение функционирования модели персонифицированного финансирования дополнительного образования детей 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</si>
  <si>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</si>
  <si>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некоммерческим организациям ( за исключением государственных (муниципальных) учреждений</t>
  </si>
  <si>
    <t xml:space="preserve">Председатель Контрольно-счетного органа Мотыгинского района </t>
  </si>
  <si>
    <t xml:space="preserve"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</t>
  </si>
  <si>
    <t>Приложение № 4</t>
  </si>
  <si>
    <t>Организация деятельности лагерей с дневным пребыванием детей в рамках подпрограммы "Развитие общего образования" муниципальной программы  Мотыгинского района "Развитие общего и дополнительного образования в Мотыгинском районе"</t>
  </si>
  <si>
    <t>0320088270</t>
  </si>
  <si>
    <t>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</si>
  <si>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>Иной межбюджетный трансферт бюджетам муниципальных образований на 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</si>
  <si>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 xml:space="preserve">0804 </t>
  </si>
  <si>
    <t>Мероприятие содействующее развитию социального туризма и туристической инфраструктуры Мотыгинского района в рамках подпрограммы "Развитие внутреннего и въездного туризма" муниципальной программы  "Развитие культуры и туризма"</t>
  </si>
  <si>
    <t>0250094800</t>
  </si>
  <si>
    <t>Государственная поддержка отрасли культура (модернизация библиотек части комплектования книжных фондов)</t>
  </si>
  <si>
    <t>024А155191</t>
  </si>
  <si>
    <t>Массовый спорт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</si>
  <si>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</si>
  <si>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образовательных учреждений сфере культуры музыкальными инструментами, оборудованием и учебными материалами</t>
  </si>
  <si>
    <t>09100S6680</t>
  </si>
  <si>
    <t>1100000000</t>
  </si>
  <si>
    <t>1150000000</t>
  </si>
  <si>
    <t>1150075870</t>
  </si>
  <si>
    <t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t>
  </si>
  <si>
    <t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t>
  </si>
  <si>
    <t>03100S8400</t>
  </si>
  <si>
    <t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</si>
  <si>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03200S5620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</si>
  <si>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и содержание специализированного жилищного фонда за счет средств бюджета муниципального образования"</t>
  </si>
  <si>
    <t>Подпрограмма "Развитие субъектов малого и среднего предпринимательства на территории Мотыгинского района"</t>
  </si>
  <si>
    <t>Подпрограмма "Развитие сельского хозяйства на территории Мотыгинского района"</t>
  </si>
  <si>
    <t>0930000000</t>
  </si>
  <si>
    <t>0930075170</t>
  </si>
  <si>
    <t>Подпрограмма "Чистая вода Мотыгинского района"</t>
  </si>
  <si>
    <t>Иной межбюджетный трансферт бюджетам муниципальных образований на реализацию мероприятий по капитальному ремонту, реконструкции, модернизации и строительству объектов водоснабжения коммунальной инфраструктуры</t>
  </si>
  <si>
    <t>0710085010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</si>
  <si>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</si>
  <si>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1200000000</t>
  </si>
  <si>
    <t>Подпрограмма "Охрана окружающей среды, воспроизводство природных ресурсов в Мотыгинском районе"</t>
  </si>
  <si>
    <t>1210000000</t>
  </si>
  <si>
    <t>1210075180</t>
  </si>
  <si>
    <t>1130000000</t>
  </si>
  <si>
    <t>1130084670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</si>
  <si>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</si>
  <si>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Осуществление части полномочий контрольно-счетного органа поселений по внешнему муниципальному финансовому контролю</t>
  </si>
  <si>
    <t>955</t>
  </si>
  <si>
    <t>8210084600</t>
  </si>
  <si>
    <t xml:space="preserve"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</si>
  <si>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 xml:space="preserve"> 02400S4840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</si>
  <si>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</t>
  </si>
  <si>
    <t>032Е151720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</si>
  <si>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</si>
  <si>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</si>
  <si>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03100S5820</t>
  </si>
  <si>
    <t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</si>
  <si>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03200S8450</t>
  </si>
  <si>
    <t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t>
  </si>
  <si>
    <t>8510076850</t>
  </si>
  <si>
    <t>(рублей)</t>
  </si>
  <si>
    <t>( рублей)</t>
  </si>
  <si>
    <t>Разработка генерального плана и проекта правил землепользования и застройки муниципального образования Новоангарский сельсовет</t>
  </si>
  <si>
    <t>1210089130</t>
  </si>
  <si>
    <t>8510074290</t>
  </si>
  <si>
    <t>8510051200</t>
  </si>
  <si>
    <t>Создание условий для оснащения (обновление материально-технической базы) оборудованием,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"Развитие общего образования" муниципальной программы "Развитие общего и дополнительного образования в Мотыгинском районе"</t>
  </si>
  <si>
    <t>0320015210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</si>
  <si>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</si>
  <si>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03200S5830</t>
  </si>
  <si>
    <t>'Закупка товаров, работ и услуг для обеспечения государственных (муниципальных) нужд</t>
  </si>
  <si>
    <t>'Иные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</si>
  <si>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</si>
  <si>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характера"</t>
  </si>
  <si>
    <t>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</si>
  <si>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08100S4120</t>
  </si>
  <si>
    <t>'Межбюджетные трансферты</t>
  </si>
  <si>
    <t>'Иные межбюджетные трансферты</t>
  </si>
  <si>
    <t>1102</t>
  </si>
  <si>
    <t>0110074180</t>
  </si>
  <si>
    <t>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</si>
  <si>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06200S6410</t>
  </si>
  <si>
    <t>02400L5190</t>
  </si>
  <si>
    <t>024А255195</t>
  </si>
  <si>
    <t>'Предоставление субсидий бюджетным, автономным учреждениям и иным некоммерческим организациям</t>
  </si>
  <si>
    <t>024А255196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</si>
  <si>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</si>
  <si>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</si>
  <si>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Непрограммные расходы Управления образования Мотыгинского района</t>
  </si>
  <si>
    <t>9140000000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</si>
  <si>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Мотыгинского района"</t>
  </si>
  <si>
    <t>91Г0008530</t>
  </si>
  <si>
    <t>'Субсидии бюджетным учреждениям</t>
  </si>
  <si>
    <t>03200L3030</t>
  </si>
  <si>
    <t>'Социальное обеспечение и иные выплаты населению</t>
  </si>
  <si>
    <t>03200L3041</t>
  </si>
  <si>
    <t>03300S5680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</si>
  <si>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муниципаоьной программы Мотыгинского района "Развитие общего и дополнительного образования в Мотыгинском районе"</t>
  </si>
  <si>
    <t>032ЕВ51790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</si>
  <si>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</si>
  <si>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'Обеспечение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</si>
  <si>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</si>
  <si>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'Осуществление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</si>
  <si>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0310080210</t>
  </si>
  <si>
    <t>0320080210</t>
  </si>
  <si>
    <t>''Предоставление субсидий бюджетным, автономным учреждениям и иным некоммерческим организациям</t>
  </si>
  <si>
    <t>''Субсидии бюджетным учреждениям</t>
  </si>
  <si>
    <t>0330080210</t>
  </si>
  <si>
    <t>0320080040</t>
  </si>
  <si>
    <t>0320088140</t>
  </si>
  <si>
    <t>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</si>
  <si>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'''Предоставление субсидий бюджетным, автономным учреждениям и иным некоммерческим организациям</t>
  </si>
  <si>
    <t>'Проведение капитальных и текущих ремонтов общеобразовательных учреждений в рамках подпрограммы"Развитие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</si>
  <si>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'Разработка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</si>
  <si>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</si>
  <si>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Подготовка дошкольных учреждений к новому учебному году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</si>
  <si>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</si>
  <si>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Проведение капитальных и текущих ремонтов общеобразовательных учреждений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</si>
  <si>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</si>
  <si>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муниципальной программы Мотыгинского района "Развитие общего и дополнительного образования в Мотыгинском районе"</t>
  </si>
  <si>
    <t>'Организация и обеспечение обучающихся по образовательным программам начального общего образования в муниципальных образовательных организациях, 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</si>
  <si>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'Другие вопросы в области охраны окружающей среды</t>
  </si>
  <si>
    <t>08100S6750</t>
  </si>
  <si>
    <t>Приобретение извещателей дымовых автономных отдельным категориям граждан в целях оснащения ими жилых помещений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</si>
  <si>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правонарушений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</si>
  <si>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терроризма и экстремизма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</si>
  <si>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Противодействие незаконному обороту наркотических средств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</si>
  <si>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</si>
  <si>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</si>
  <si>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'Освобождение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</si>
  <si>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Внесение изменений в Местные нормативы градостроительного проектирования Мотыгинского района Красноярского края и муниципальных образований, входящих в его состав в рамках подпрограммы "Территориальное планирование, градостроительное зонирование и документация по планировке территории Мотыгинского района" Муниципальная программа " Обеспечение доступным и комфортным жильем в Мотыгинском районе "</t>
  </si>
  <si>
    <t>1130084690</t>
  </si>
  <si>
    <t>'Подготовка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</si>
  <si>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</si>
  <si>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t>
  </si>
  <si>
    <t>0610077450</t>
  </si>
  <si>
    <t>12100S6900</t>
  </si>
  <si>
    <t>''Иные межбюджетные трансферты</t>
  </si>
  <si>
    <t>'Подпрограмма "Охрана окружающей среды, воспроизводство природных ресурсов в Мотыгинском районе"</t>
  </si>
  <si>
    <t>Мероприятия направленные на ликвидацию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</si>
  <si>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8510080030</t>
  </si>
  <si>
    <t>Предоставление разовой материальной помощи членам семей лиц , принимающих (принимавших) участие в специальной военной операции</t>
  </si>
  <si>
    <t>03200L0500</t>
  </si>
  <si>
    <t>Ежемесячное денежное вознаграждение советникам директора по воспитанию и взаимодействию с детскими общественными объединениями государстенных и муниципальных общеобразовательных организаций, профессиональных образовательных организаций в рамках подпрограммы "Равитие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</si>
  <si>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0320088150</t>
  </si>
  <si>
    <t>Приведение муниципальных общеобразовательных учреждений в соответствие с требованиями санитарных норм и правил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</si>
  <si>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1040082230</t>
  </si>
  <si>
    <t>8110000230</t>
  </si>
  <si>
    <t>8110000210</t>
  </si>
  <si>
    <t>8210000250</t>
  </si>
  <si>
    <t>9210000910</t>
  </si>
  <si>
    <t xml:space="preserve">Утверждено решением о бюджете </t>
  </si>
  <si>
    <t xml:space="preserve">Бюджетная роспись с учетом изменений </t>
  </si>
  <si>
    <t xml:space="preserve">Исполнено </t>
  </si>
  <si>
    <t>Процент исполнения</t>
  </si>
  <si>
    <t>Ведомственная структура расходов районного бюджета  в 2024 году</t>
  </si>
  <si>
    <t>Расходы районного бюджета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в 2024 году</t>
  </si>
  <si>
    <t xml:space="preserve">Расходы районного  бюджета по разделам, подразделам 
классификации расходов бюджетов  в 2024 году					
</t>
  </si>
  <si>
    <t>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характеров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</si>
</sst>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64" fontId="11" fillId="0" borderId="0" applyFont="0" applyFill="0" applyBorder="0" applyAlignment="0" applyProtection="0"/>
  </cellStyleXfs>
  <cellXfs count="382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justify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15" fillId="0" borderId="1" xfId="2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/>
    </xf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4" fillId="0" borderId="1" xfId="2" applyFont="1" applyFill="1" applyBorder="1" applyAlignment="1">
      <alignment horizontal="center" vertical="center"/>
    </xf>
    <xf numFmtId="164" fontId="10" fillId="0" borderId="1" xfId="2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21" fillId="0" borderId="1" xfId="0" applyNumberFormat="1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7" fillId="0" borderId="1" xfId="0" quotePrefix="1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49" fontId="18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quotePrefix="1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7" fillId="0" borderId="1" xfId="0" quotePrefix="1" applyNumberFormat="1" applyFont="1" applyBorder="1" applyAlignment="1">
      <alignment horizontal="justify" vertical="center" wrapText="1"/>
    </xf>
    <xf numFmtId="0" fontId="7" fillId="0" borderId="1" xfId="0" quotePrefix="1" applyNumberFormat="1" applyFont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2" fillId="0" borderId="1" xfId="0" quotePrefix="1" applyNumberFormat="1" applyFont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0" fontId="12" fillId="0" borderId="1" xfId="0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7" fillId="0" borderId="1" xfId="0" quotePrefix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2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2" applyFont="1" applyFill="1" applyBorder="1"/>
    <xf numFmtId="164" fontId="3" fillId="0" borderId="0" xfId="2" applyFont="1" applyFill="1"/>
    <xf numFmtId="164" fontId="3" fillId="0" borderId="0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justify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49" fontId="8" fillId="0" borderId="0" xfId="0" applyNumberFormat="1" applyFont="1" applyFill="1" applyAlignment="1">
      <alignment horizontal="center"/>
    </xf>
    <xf numFmtId="164" fontId="3" fillId="0" borderId="1" xfId="2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164" fontId="3" fillId="0" borderId="0" xfId="2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quotePrefix="1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4" xfId="2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4" fontId="3" fillId="0" borderId="4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2" fontId="3" fillId="0" borderId="0" xfId="0" applyNumberFormat="1" applyFont="1" applyFill="1" applyAlignment="1">
      <alignment horizontal="center" vertical="center"/>
    </xf>
    <xf numFmtId="43" fontId="3" fillId="0" borderId="0" xfId="2" applyNumberFormat="1" applyFont="1" applyFill="1"/>
    <xf numFmtId="43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6" fontId="3" fillId="0" borderId="1" xfId="2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64" fontId="3" fillId="0" borderId="0" xfId="2" applyFont="1" applyFill="1" applyBorder="1"/>
    <xf numFmtId="0" fontId="3" fillId="0" borderId="6" xfId="0" applyFont="1" applyFill="1" applyBorder="1"/>
    <xf numFmtId="0" fontId="16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6" fillId="0" borderId="1" xfId="0" applyFont="1" applyFill="1" applyBorder="1" applyAlignment="1">
      <alignment horizontal="justify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 shrinkToFit="1"/>
    </xf>
    <xf numFmtId="0" fontId="16" fillId="0" borderId="1" xfId="0" applyFont="1" applyFill="1" applyBorder="1" applyAlignment="1">
      <alignment vertical="center"/>
    </xf>
    <xf numFmtId="2" fontId="4" fillId="0" borderId="0" xfId="0" applyNumberFormat="1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2" fontId="20" fillId="0" borderId="0" xfId="0" applyNumberFormat="1" applyFont="1" applyFill="1" applyAlignment="1">
      <alignment wrapText="1"/>
    </xf>
    <xf numFmtId="164" fontId="6" fillId="0" borderId="0" xfId="2" applyFont="1" applyFill="1" applyBorder="1" applyAlignment="1">
      <alignment horizontal="center" vertical="center"/>
    </xf>
    <xf numFmtId="0" fontId="7" fillId="0" borderId="2" xfId="0" quotePrefix="1" applyNumberFormat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4" fillId="0" borderId="2" xfId="0" quotePrefix="1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center" vertical="center"/>
    </xf>
    <xf numFmtId="164" fontId="10" fillId="0" borderId="0" xfId="2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0" fontId="12" fillId="0" borderId="1" xfId="0" quotePrefix="1" applyNumberFormat="1" applyFont="1" applyBorder="1" applyAlignment="1">
      <alignment horizontal="left" vertical="center" wrapText="1"/>
    </xf>
    <xf numFmtId="0" fontId="24" fillId="0" borderId="0" xfId="0" quotePrefix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43" fontId="3" fillId="0" borderId="3" xfId="0" applyNumberFormat="1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43" fontId="3" fillId="0" borderId="5" xfId="0" applyNumberFormat="1" applyFont="1" applyBorder="1" applyAlignment="1">
      <alignment horizontal="center" vertical="center"/>
    </xf>
    <xf numFmtId="164" fontId="3" fillId="0" borderId="3" xfId="2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164" fontId="14" fillId="0" borderId="3" xfId="2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left" vertical="center" wrapText="1"/>
    </xf>
    <xf numFmtId="0" fontId="4" fillId="0" borderId="5" xfId="0" quotePrefix="1" applyNumberFormat="1" applyFont="1" applyFill="1" applyBorder="1" applyAlignment="1">
      <alignment horizontal="left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justify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4" fillId="0" borderId="3" xfId="0" quotePrefix="1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selection activeCell="D60" sqref="D60"/>
    </sheetView>
  </sheetViews>
  <sheetFormatPr defaultColWidth="34" defaultRowHeight="15.75" x14ac:dyDescent="0.25"/>
  <cols>
    <col min="1" max="1" width="8.140625" style="12" customWidth="1"/>
    <col min="2" max="2" width="58" style="8" customWidth="1"/>
    <col min="3" max="3" width="11.28515625" style="12" customWidth="1"/>
    <col min="4" max="4" width="17.140625" style="12" customWidth="1"/>
    <col min="5" max="5" width="17.28515625" style="12" customWidth="1"/>
    <col min="6" max="6" width="19.140625" style="12" customWidth="1"/>
    <col min="7" max="7" width="16.5703125" style="12" customWidth="1"/>
    <col min="8" max="16384" width="34" style="12"/>
  </cols>
  <sheetData>
    <row r="1" spans="1:7" x14ac:dyDescent="0.25">
      <c r="E1" s="16" t="s">
        <v>439</v>
      </c>
      <c r="F1" s="17"/>
    </row>
    <row r="2" spans="1:7" x14ac:dyDescent="0.25">
      <c r="E2" s="18" t="s">
        <v>150</v>
      </c>
      <c r="F2" s="17"/>
    </row>
    <row r="3" spans="1:7" x14ac:dyDescent="0.25">
      <c r="E3" s="18" t="s">
        <v>244</v>
      </c>
      <c r="F3" s="17"/>
    </row>
    <row r="4" spans="1:7" x14ac:dyDescent="0.25">
      <c r="E4" s="18" t="s">
        <v>440</v>
      </c>
      <c r="F4" s="17"/>
    </row>
    <row r="5" spans="1:7" x14ac:dyDescent="0.25">
      <c r="E5" s="18"/>
      <c r="F5" s="17"/>
    </row>
    <row r="6" spans="1:7" x14ac:dyDescent="0.25">
      <c r="E6" s="18"/>
      <c r="F6" s="17"/>
    </row>
    <row r="7" spans="1:7" ht="44.25" customHeight="1" x14ac:dyDescent="0.25">
      <c r="A7" s="320" t="s">
        <v>595</v>
      </c>
      <c r="B7" s="320"/>
      <c r="C7" s="320"/>
      <c r="D7" s="320"/>
      <c r="E7" s="320"/>
      <c r="F7" s="320"/>
    </row>
    <row r="8" spans="1:7" x14ac:dyDescent="0.25">
      <c r="A8" s="6"/>
      <c r="B8" s="9"/>
      <c r="C8" s="7"/>
      <c r="D8" s="7"/>
      <c r="E8" s="7"/>
    </row>
    <row r="9" spans="1:7" x14ac:dyDescent="0.25">
      <c r="A9" s="1"/>
      <c r="B9" s="10"/>
      <c r="C9" s="2"/>
      <c r="D9" s="3"/>
      <c r="G9" s="3" t="s">
        <v>498</v>
      </c>
    </row>
    <row r="10" spans="1:7" ht="45" x14ac:dyDescent="0.25">
      <c r="A10" s="4" t="s">
        <v>0</v>
      </c>
      <c r="B10" s="11" t="s">
        <v>83</v>
      </c>
      <c r="C10" s="5" t="s">
        <v>3</v>
      </c>
      <c r="D10" s="25" t="s">
        <v>589</v>
      </c>
      <c r="E10" s="25" t="s">
        <v>590</v>
      </c>
      <c r="F10" s="25" t="s">
        <v>591</v>
      </c>
      <c r="G10" s="318" t="s">
        <v>592</v>
      </c>
    </row>
    <row r="11" spans="1:7" x14ac:dyDescent="0.25">
      <c r="A11" s="88"/>
      <c r="B11" s="4" t="s">
        <v>6</v>
      </c>
      <c r="C11" s="89" t="s">
        <v>7</v>
      </c>
      <c r="D11" s="89" t="s">
        <v>9</v>
      </c>
      <c r="E11" s="89" t="s">
        <v>10</v>
      </c>
      <c r="F11" s="211">
        <v>6</v>
      </c>
      <c r="G11" s="211">
        <v>7</v>
      </c>
    </row>
    <row r="12" spans="1:7" ht="24.75" customHeight="1" x14ac:dyDescent="0.25">
      <c r="A12" s="90">
        <v>1</v>
      </c>
      <c r="B12" s="91" t="s">
        <v>84</v>
      </c>
      <c r="C12" s="92" t="s">
        <v>85</v>
      </c>
      <c r="D12" s="93">
        <f t="shared" ref="D12" si="0">D13+D14+D15+D17+D18+D19+D16</f>
        <v>190558211.18000001</v>
      </c>
      <c r="E12" s="93">
        <f t="shared" ref="E12:F12" si="1">E13+E14+E15+E17+E18+E19+E16</f>
        <v>190383211.18000001</v>
      </c>
      <c r="F12" s="93">
        <f t="shared" si="1"/>
        <v>182556391.75999999</v>
      </c>
      <c r="G12" s="317">
        <f>F12/E12*100</f>
        <v>95.888913013133262</v>
      </c>
    </row>
    <row r="13" spans="1:7" ht="36" customHeight="1" x14ac:dyDescent="0.25">
      <c r="A13" s="90">
        <v>2</v>
      </c>
      <c r="B13" s="94" t="s">
        <v>86</v>
      </c>
      <c r="C13" s="95" t="s">
        <v>87</v>
      </c>
      <c r="D13" s="96">
        <f>'приложение 4'!G129</f>
        <v>1959083.1999999997</v>
      </c>
      <c r="E13" s="96">
        <f>'приложение 4'!H129</f>
        <v>1959083.2</v>
      </c>
      <c r="F13" s="96">
        <f>'приложение 4'!I129</f>
        <v>1934440.59</v>
      </c>
      <c r="G13" s="317">
        <f t="shared" ref="G13:G58" si="2">F13/E13*100</f>
        <v>98.742135607104387</v>
      </c>
    </row>
    <row r="14" spans="1:7" ht="53.25" customHeight="1" x14ac:dyDescent="0.25">
      <c r="A14" s="90">
        <v>3</v>
      </c>
      <c r="B14" s="94" t="s">
        <v>88</v>
      </c>
      <c r="C14" s="95" t="s">
        <v>89</v>
      </c>
      <c r="D14" s="96">
        <f>'приложение 4'!G691</f>
        <v>6415409.4999999991</v>
      </c>
      <c r="E14" s="96">
        <f>'приложение 4'!H691</f>
        <v>6415409.5</v>
      </c>
      <c r="F14" s="96">
        <f>'приложение 4'!I691</f>
        <v>6225124.8399999999</v>
      </c>
      <c r="G14" s="317">
        <f t="shared" si="2"/>
        <v>97.033943663300064</v>
      </c>
    </row>
    <row r="15" spans="1:7" ht="63" x14ac:dyDescent="0.25">
      <c r="A15" s="90">
        <v>4</v>
      </c>
      <c r="B15" s="94" t="s">
        <v>16</v>
      </c>
      <c r="C15" s="95" t="s">
        <v>90</v>
      </c>
      <c r="D15" s="96">
        <f>'приложение 4'!G135</f>
        <v>49637596.710000001</v>
      </c>
      <c r="E15" s="96">
        <f>'приложение 4'!H135</f>
        <v>49637596.710000001</v>
      </c>
      <c r="F15" s="96">
        <f>'приложение 4'!I135</f>
        <v>46494233.050000004</v>
      </c>
      <c r="G15" s="317">
        <f t="shared" si="2"/>
        <v>93.667373385612095</v>
      </c>
    </row>
    <row r="16" spans="1:7" x14ac:dyDescent="0.25">
      <c r="A16" s="90">
        <v>5</v>
      </c>
      <c r="B16" s="97" t="s">
        <v>155</v>
      </c>
      <c r="C16" s="95" t="s">
        <v>158</v>
      </c>
      <c r="D16" s="96">
        <f>'приложение 4'!G153</f>
        <v>6000</v>
      </c>
      <c r="E16" s="96">
        <f>'приложение 4'!H153</f>
        <v>6000</v>
      </c>
      <c r="F16" s="96">
        <f>'приложение 4'!I153</f>
        <v>6000</v>
      </c>
      <c r="G16" s="317">
        <f t="shared" si="2"/>
        <v>100</v>
      </c>
    </row>
    <row r="17" spans="1:7" ht="47.25" x14ac:dyDescent="0.25">
      <c r="A17" s="90">
        <v>6</v>
      </c>
      <c r="B17" s="94" t="s">
        <v>11</v>
      </c>
      <c r="C17" s="95" t="s">
        <v>91</v>
      </c>
      <c r="D17" s="96">
        <f>'приложение 4'!G14+'приложение 4'!G673</f>
        <v>24239392.099999998</v>
      </c>
      <c r="E17" s="96">
        <f>'приложение 4'!H14+'приложение 4'!H673</f>
        <v>24239392.099999998</v>
      </c>
      <c r="F17" s="96">
        <f>'приложение 4'!I14+'приложение 4'!I673</f>
        <v>23983873.789999999</v>
      </c>
      <c r="G17" s="317">
        <f t="shared" si="2"/>
        <v>98.945855123157159</v>
      </c>
    </row>
    <row r="18" spans="1:7" x14ac:dyDescent="0.25">
      <c r="A18" s="90">
        <v>7</v>
      </c>
      <c r="B18" s="94" t="s">
        <v>30</v>
      </c>
      <c r="C18" s="95" t="s">
        <v>92</v>
      </c>
      <c r="D18" s="96">
        <f>'приложение 4'!G159</f>
        <v>2315000</v>
      </c>
      <c r="E18" s="96">
        <f>'приложение 4'!H159</f>
        <v>2140000</v>
      </c>
      <c r="F18" s="96">
        <f>'приложение 4'!I159</f>
        <v>0</v>
      </c>
      <c r="G18" s="317">
        <f t="shared" si="2"/>
        <v>0</v>
      </c>
    </row>
    <row r="19" spans="1:7" x14ac:dyDescent="0.25">
      <c r="A19" s="90">
        <v>8</v>
      </c>
      <c r="B19" s="94" t="s">
        <v>34</v>
      </c>
      <c r="C19" s="95" t="s">
        <v>93</v>
      </c>
      <c r="D19" s="96">
        <f>'приложение 4'!G160+'приложение 4'!G378+'приложение 4'!G395+'приложение 4'!G412+'приложение 4'!G28</f>
        <v>105985729.67</v>
      </c>
      <c r="E19" s="96">
        <f>'приложение 4'!H160+'приложение 4'!H378+'приложение 4'!H395+'приложение 4'!H412+'приложение 4'!H28</f>
        <v>105985729.67000002</v>
      </c>
      <c r="F19" s="96">
        <f>'приложение 4'!I160+'приложение 4'!I378+'приложение 4'!I395+'приложение 4'!I412+'приложение 4'!I28</f>
        <v>103912719.48999999</v>
      </c>
      <c r="G19" s="317">
        <f t="shared" si="2"/>
        <v>98.044066699871195</v>
      </c>
    </row>
    <row r="20" spans="1:7" ht="29.25" customHeight="1" x14ac:dyDescent="0.25">
      <c r="A20" s="90">
        <v>9</v>
      </c>
      <c r="B20" s="91" t="s">
        <v>94</v>
      </c>
      <c r="C20" s="92" t="s">
        <v>95</v>
      </c>
      <c r="D20" s="99">
        <f t="shared" ref="D20:F20" si="3">D21</f>
        <v>2959800</v>
      </c>
      <c r="E20" s="99">
        <f t="shared" si="3"/>
        <v>2959800</v>
      </c>
      <c r="F20" s="99">
        <f t="shared" si="3"/>
        <v>2959800</v>
      </c>
      <c r="G20" s="317">
        <f t="shared" si="2"/>
        <v>100</v>
      </c>
    </row>
    <row r="21" spans="1:7" x14ac:dyDescent="0.25">
      <c r="A21" s="90">
        <v>10</v>
      </c>
      <c r="B21" s="94" t="s">
        <v>21</v>
      </c>
      <c r="C21" s="95" t="s">
        <v>96</v>
      </c>
      <c r="D21" s="96">
        <f>'приложение 4'!G35</f>
        <v>2959800</v>
      </c>
      <c r="E21" s="96">
        <f>'приложение 4'!H35</f>
        <v>2959800</v>
      </c>
      <c r="F21" s="96">
        <f>'приложение 4'!I35</f>
        <v>2959800</v>
      </c>
      <c r="G21" s="317">
        <f t="shared" si="2"/>
        <v>100</v>
      </c>
    </row>
    <row r="22" spans="1:7" ht="35.25" customHeight="1" x14ac:dyDescent="0.25">
      <c r="A22" s="90">
        <v>11</v>
      </c>
      <c r="B22" s="100" t="s">
        <v>97</v>
      </c>
      <c r="C22" s="92" t="s">
        <v>98</v>
      </c>
      <c r="D22" s="101">
        <f t="shared" ref="D22:F22" si="4">D23</f>
        <v>10986357.800000001</v>
      </c>
      <c r="E22" s="101">
        <f t="shared" si="4"/>
        <v>10986357.800000001</v>
      </c>
      <c r="F22" s="101">
        <f t="shared" si="4"/>
        <v>10747225.620000001</v>
      </c>
      <c r="G22" s="317">
        <f t="shared" si="2"/>
        <v>97.823371636412574</v>
      </c>
    </row>
    <row r="23" spans="1:7" ht="47.25" x14ac:dyDescent="0.25">
      <c r="A23" s="90">
        <v>12</v>
      </c>
      <c r="B23" s="57" t="s">
        <v>73</v>
      </c>
      <c r="C23" s="121" t="s">
        <v>375</v>
      </c>
      <c r="D23" s="96">
        <f>'приложение 4'!G363+'приложение 4'!G197+'приложение 4'!G42</f>
        <v>10986357.800000001</v>
      </c>
      <c r="E23" s="96">
        <f>'приложение 4'!H363+'приложение 4'!H197+'приложение 4'!H42</f>
        <v>10986357.800000001</v>
      </c>
      <c r="F23" s="96">
        <f>'приложение 4'!I363+'приложение 4'!I197+'приложение 4'!I42</f>
        <v>10747225.620000001</v>
      </c>
      <c r="G23" s="317">
        <f t="shared" si="2"/>
        <v>97.823371636412574</v>
      </c>
    </row>
    <row r="24" spans="1:7" ht="33.75" customHeight="1" x14ac:dyDescent="0.25">
      <c r="A24" s="90">
        <v>13</v>
      </c>
      <c r="B24" s="91" t="s">
        <v>99</v>
      </c>
      <c r="C24" s="92" t="s">
        <v>100</v>
      </c>
      <c r="D24" s="102">
        <f>D25+D26+D27+D28+D29</f>
        <v>60856677.650000006</v>
      </c>
      <c r="E24" s="102">
        <f t="shared" ref="E24:F24" si="5">E25+E26+E27+E28+E29</f>
        <v>60856677.649999999</v>
      </c>
      <c r="F24" s="102">
        <f t="shared" si="5"/>
        <v>52896523.169999994</v>
      </c>
      <c r="G24" s="317">
        <f t="shared" si="2"/>
        <v>86.919833965007768</v>
      </c>
    </row>
    <row r="25" spans="1:7" x14ac:dyDescent="0.25">
      <c r="A25" s="90">
        <v>14</v>
      </c>
      <c r="B25" s="94" t="s">
        <v>101</v>
      </c>
      <c r="C25" s="95" t="s">
        <v>102</v>
      </c>
      <c r="D25" s="96">
        <f>'приложение 4'!G49+'приложение 4'!G217</f>
        <v>446900</v>
      </c>
      <c r="E25" s="96">
        <f>'приложение 4'!H49+'приложение 4'!H217</f>
        <v>446900</v>
      </c>
      <c r="F25" s="96">
        <f>'приложение 4'!I49+'приложение 4'!I217</f>
        <v>422717.17</v>
      </c>
      <c r="G25" s="317">
        <f t="shared" si="2"/>
        <v>94.588760349071379</v>
      </c>
    </row>
    <row r="26" spans="1:7" x14ac:dyDescent="0.25">
      <c r="A26" s="90">
        <v>15</v>
      </c>
      <c r="B26" s="94" t="s">
        <v>40</v>
      </c>
      <c r="C26" s="95" t="s">
        <v>103</v>
      </c>
      <c r="D26" s="96">
        <f>'приложение 4'!G225</f>
        <v>1147100</v>
      </c>
      <c r="E26" s="96">
        <f>'приложение 4'!H225</f>
        <v>1147100</v>
      </c>
      <c r="F26" s="96">
        <f>'приложение 4'!I225</f>
        <v>1145845.5</v>
      </c>
      <c r="G26" s="317">
        <f t="shared" si="2"/>
        <v>99.890637259175307</v>
      </c>
    </row>
    <row r="27" spans="1:7" x14ac:dyDescent="0.25">
      <c r="A27" s="90">
        <v>16</v>
      </c>
      <c r="B27" s="94" t="s">
        <v>39</v>
      </c>
      <c r="C27" s="95" t="s">
        <v>104</v>
      </c>
      <c r="D27" s="96">
        <f>'приложение 4'!G233</f>
        <v>30472143.210000001</v>
      </c>
      <c r="E27" s="96">
        <f>'приложение 4'!H233</f>
        <v>30472143.210000001</v>
      </c>
      <c r="F27" s="96">
        <f>'приложение 4'!I233</f>
        <v>29763913.34</v>
      </c>
      <c r="G27" s="317">
        <f t="shared" si="2"/>
        <v>97.675812084764743</v>
      </c>
    </row>
    <row r="28" spans="1:7" x14ac:dyDescent="0.25">
      <c r="A28" s="90">
        <v>17</v>
      </c>
      <c r="B28" s="94" t="s">
        <v>105</v>
      </c>
      <c r="C28" s="95" t="s">
        <v>106</v>
      </c>
      <c r="D28" s="96">
        <f>'приложение 4'!G55+'приложение 4'!G246</f>
        <v>24534894.440000005</v>
      </c>
      <c r="E28" s="96">
        <f>'приложение 4'!H55+'приложение 4'!H246</f>
        <v>24534894.439999998</v>
      </c>
      <c r="F28" s="96">
        <f>'приложение 4'!I55+'приложение 4'!I246</f>
        <v>21269619.309999999</v>
      </c>
      <c r="G28" s="317">
        <f t="shared" si="2"/>
        <v>86.691301493123532</v>
      </c>
    </row>
    <row r="29" spans="1:7" x14ac:dyDescent="0.25">
      <c r="A29" s="90">
        <v>18</v>
      </c>
      <c r="B29" s="94" t="s">
        <v>46</v>
      </c>
      <c r="C29" s="95" t="s">
        <v>107</v>
      </c>
      <c r="D29" s="96">
        <f>'приложение 4'!G252</f>
        <v>4255640</v>
      </c>
      <c r="E29" s="96">
        <f>'приложение 4'!H252</f>
        <v>4255640</v>
      </c>
      <c r="F29" s="96">
        <f>'приложение 4'!I252</f>
        <v>294427.84999999998</v>
      </c>
      <c r="G29" s="317">
        <f t="shared" si="2"/>
        <v>6.9185328176255503</v>
      </c>
    </row>
    <row r="30" spans="1:7" ht="34.5" customHeight="1" x14ac:dyDescent="0.25">
      <c r="A30" s="90">
        <v>19</v>
      </c>
      <c r="B30" s="91" t="s">
        <v>108</v>
      </c>
      <c r="C30" s="92" t="s">
        <v>109</v>
      </c>
      <c r="D30" s="99">
        <f>D32+D31</f>
        <v>79898820</v>
      </c>
      <c r="E30" s="99">
        <f t="shared" ref="E30:F30" si="6">E32+E31</f>
        <v>79898820</v>
      </c>
      <c r="F30" s="99">
        <f t="shared" si="6"/>
        <v>79138575.819999993</v>
      </c>
      <c r="G30" s="317">
        <f t="shared" si="2"/>
        <v>99.048491354440515</v>
      </c>
    </row>
    <row r="31" spans="1:7" ht="34.5" customHeight="1" x14ac:dyDescent="0.25">
      <c r="A31" s="90">
        <v>20</v>
      </c>
      <c r="B31" s="97" t="s">
        <v>367</v>
      </c>
      <c r="C31" s="98" t="s">
        <v>368</v>
      </c>
      <c r="D31" s="96">
        <f>'приложение 4'!G270</f>
        <v>190300</v>
      </c>
      <c r="E31" s="96">
        <f>'приложение 4'!H270</f>
        <v>190300</v>
      </c>
      <c r="F31" s="96">
        <f>'приложение 4'!I270</f>
        <v>187046.47</v>
      </c>
      <c r="G31" s="317">
        <f t="shared" si="2"/>
        <v>98.290315291644774</v>
      </c>
    </row>
    <row r="32" spans="1:7" x14ac:dyDescent="0.25">
      <c r="A32" s="90">
        <v>21</v>
      </c>
      <c r="B32" s="94" t="s">
        <v>110</v>
      </c>
      <c r="C32" s="95" t="s">
        <v>111</v>
      </c>
      <c r="D32" s="96">
        <f>'приложение 4'!G278+'приложение 4'!G63</f>
        <v>79708520</v>
      </c>
      <c r="E32" s="96">
        <f>'приложение 4'!H278+'приложение 4'!H63</f>
        <v>79708520</v>
      </c>
      <c r="F32" s="96">
        <f>'приложение 4'!I278+'приложение 4'!I63</f>
        <v>78951529.349999994</v>
      </c>
      <c r="G32" s="317">
        <f t="shared" si="2"/>
        <v>99.050301460872674</v>
      </c>
    </row>
    <row r="33" spans="1:7" x14ac:dyDescent="0.25">
      <c r="A33" s="90">
        <v>22</v>
      </c>
      <c r="B33" s="49" t="s">
        <v>410</v>
      </c>
      <c r="C33" s="103" t="s">
        <v>408</v>
      </c>
      <c r="D33" s="104">
        <f t="shared" ref="D33" si="7">D34+D35</f>
        <v>7837435.1200000001</v>
      </c>
      <c r="E33" s="104">
        <f t="shared" ref="E33:F33" si="8">E34+E35</f>
        <v>7837435.1200000001</v>
      </c>
      <c r="F33" s="104">
        <f t="shared" si="8"/>
        <v>594179.12</v>
      </c>
      <c r="G33" s="317">
        <f t="shared" si="2"/>
        <v>7.5812955501697337</v>
      </c>
    </row>
    <row r="34" spans="1:7" ht="30" x14ac:dyDescent="0.25">
      <c r="A34" s="90">
        <v>23</v>
      </c>
      <c r="B34" s="164" t="s">
        <v>411</v>
      </c>
      <c r="C34" s="98" t="s">
        <v>409</v>
      </c>
      <c r="D34" s="96">
        <f>'приложение 4'!G288+'приложение 4'!G72</f>
        <v>1569920</v>
      </c>
      <c r="E34" s="96">
        <f>'приложение 4'!H288+'приложение 4'!H72</f>
        <v>1569920</v>
      </c>
      <c r="F34" s="96">
        <f>'приложение 4'!I288+'приложение 4'!I72</f>
        <v>594179.12</v>
      </c>
      <c r="G34" s="317">
        <f t="shared" si="2"/>
        <v>37.847732368528334</v>
      </c>
    </row>
    <row r="35" spans="1:7" x14ac:dyDescent="0.25">
      <c r="A35" s="90">
        <v>24</v>
      </c>
      <c r="B35" s="120" t="s">
        <v>414</v>
      </c>
      <c r="C35" s="98" t="s">
        <v>415</v>
      </c>
      <c r="D35" s="96">
        <f>'приложение 4'!G296+'приложение 4'!G75</f>
        <v>6267515.1200000001</v>
      </c>
      <c r="E35" s="96">
        <f>'приложение 4'!H296+'приложение 4'!H75</f>
        <v>6267515.1200000001</v>
      </c>
      <c r="F35" s="96">
        <f>'приложение 4'!I296+'приложение 4'!I75</f>
        <v>0</v>
      </c>
      <c r="G35" s="317">
        <f t="shared" si="2"/>
        <v>0</v>
      </c>
    </row>
    <row r="36" spans="1:7" ht="31.5" customHeight="1" x14ac:dyDescent="0.25">
      <c r="A36" s="90">
        <v>25</v>
      </c>
      <c r="B36" s="91" t="s">
        <v>112</v>
      </c>
      <c r="C36" s="92" t="s">
        <v>113</v>
      </c>
      <c r="D36" s="99">
        <f t="shared" ref="D36" si="9">D37+D38+D40+D41+D39</f>
        <v>893793154.1500001</v>
      </c>
      <c r="E36" s="99">
        <f t="shared" ref="E36:F36" si="10">E37+E38+E40+E41+E39</f>
        <v>895320896.95000005</v>
      </c>
      <c r="F36" s="99">
        <f t="shared" si="10"/>
        <v>879201184.38999987</v>
      </c>
      <c r="G36" s="317">
        <f t="shared" si="2"/>
        <v>98.199560334745499</v>
      </c>
    </row>
    <row r="37" spans="1:7" x14ac:dyDescent="0.25">
      <c r="A37" s="90">
        <v>26</v>
      </c>
      <c r="B37" s="94" t="s">
        <v>114</v>
      </c>
      <c r="C37" s="95" t="s">
        <v>115</v>
      </c>
      <c r="D37" s="96">
        <f>'приложение 4'!G432</f>
        <v>253823995.76000002</v>
      </c>
      <c r="E37" s="96">
        <f>'приложение 4'!H432</f>
        <v>254314095.76000002</v>
      </c>
      <c r="F37" s="96">
        <f>'приложение 4'!I432</f>
        <v>252282194.10999995</v>
      </c>
      <c r="G37" s="317">
        <f t="shared" si="2"/>
        <v>99.201026728806411</v>
      </c>
    </row>
    <row r="38" spans="1:7" x14ac:dyDescent="0.25">
      <c r="A38" s="90">
        <v>27</v>
      </c>
      <c r="B38" s="94" t="s">
        <v>64</v>
      </c>
      <c r="C38" s="95" t="s">
        <v>116</v>
      </c>
      <c r="D38" s="96">
        <f>'приложение 4'!G461</f>
        <v>504951251.43000001</v>
      </c>
      <c r="E38" s="96">
        <f>'приложение 4'!H461</f>
        <v>505078894.23000002</v>
      </c>
      <c r="F38" s="96">
        <f>'приложение 4'!I461</f>
        <v>495189869.99000001</v>
      </c>
      <c r="G38" s="317">
        <f t="shared" si="2"/>
        <v>98.042083256106764</v>
      </c>
    </row>
    <row r="39" spans="1:7" x14ac:dyDescent="0.25">
      <c r="A39" s="90">
        <v>28</v>
      </c>
      <c r="B39" s="97" t="s">
        <v>159</v>
      </c>
      <c r="C39" s="95" t="s">
        <v>165</v>
      </c>
      <c r="D39" s="96">
        <f>'приложение 4'!G520+'приложение 4'!G581</f>
        <v>91421451.75999999</v>
      </c>
      <c r="E39" s="96">
        <f>'приложение 4'!H520+'приложение 4'!H581</f>
        <v>92331451.75999999</v>
      </c>
      <c r="F39" s="96">
        <f>'приложение 4'!I520+'приложение 4'!I581</f>
        <v>89782943.159999996</v>
      </c>
      <c r="G39" s="317">
        <f t="shared" si="2"/>
        <v>97.239826135708967</v>
      </c>
    </row>
    <row r="40" spans="1:7" x14ac:dyDescent="0.25">
      <c r="A40" s="90">
        <v>29</v>
      </c>
      <c r="B40" s="94" t="s">
        <v>160</v>
      </c>
      <c r="C40" s="95" t="s">
        <v>117</v>
      </c>
      <c r="D40" s="96">
        <f>'приложение 4'!G590+'приложение 4'!G82</f>
        <v>11556700.199999999</v>
      </c>
      <c r="E40" s="96">
        <f>'приложение 4'!H590+'приложение 4'!H82</f>
        <v>11556700.199999999</v>
      </c>
      <c r="F40" s="96">
        <f>'приложение 4'!I590+'приложение 4'!I82</f>
        <v>10374106.15</v>
      </c>
      <c r="G40" s="317">
        <f t="shared" si="2"/>
        <v>89.767026663891485</v>
      </c>
    </row>
    <row r="41" spans="1:7" x14ac:dyDescent="0.25">
      <c r="A41" s="90">
        <v>30</v>
      </c>
      <c r="B41" s="94" t="s">
        <v>52</v>
      </c>
      <c r="C41" s="95" t="s">
        <v>118</v>
      </c>
      <c r="D41" s="96">
        <f>'приложение 4'!G543+'приложение 4'!G301</f>
        <v>32039755</v>
      </c>
      <c r="E41" s="96">
        <f>'приложение 4'!H543+'приложение 4'!H301</f>
        <v>32039755</v>
      </c>
      <c r="F41" s="96">
        <f>'приложение 4'!I543+'приложение 4'!I301</f>
        <v>31572070.98</v>
      </c>
      <c r="G41" s="317">
        <f t="shared" si="2"/>
        <v>98.540300885571696</v>
      </c>
    </row>
    <row r="42" spans="1:7" ht="32.25" customHeight="1" x14ac:dyDescent="0.25">
      <c r="A42" s="90">
        <v>31</v>
      </c>
      <c r="B42" s="91" t="s">
        <v>119</v>
      </c>
      <c r="C42" s="92" t="s">
        <v>120</v>
      </c>
      <c r="D42" s="99">
        <f t="shared" ref="D42" si="11">D43+D44</f>
        <v>100338558.53</v>
      </c>
      <c r="E42" s="99">
        <f t="shared" ref="E42:F42" si="12">E43+E44</f>
        <v>100338558.53000002</v>
      </c>
      <c r="F42" s="99">
        <f t="shared" si="12"/>
        <v>98721460.679999992</v>
      </c>
      <c r="G42" s="317">
        <f t="shared" si="2"/>
        <v>98.388358499772025</v>
      </c>
    </row>
    <row r="43" spans="1:7" x14ac:dyDescent="0.25">
      <c r="A43" s="90">
        <v>32</v>
      </c>
      <c r="B43" s="94" t="s">
        <v>67</v>
      </c>
      <c r="C43" s="95" t="s">
        <v>121</v>
      </c>
      <c r="D43" s="96">
        <f>'приложение 4'!G611</f>
        <v>95433254.489999995</v>
      </c>
      <c r="E43" s="96">
        <f>'приложение 4'!H611</f>
        <v>95433254.49000001</v>
      </c>
      <c r="F43" s="96">
        <f>'приложение 4'!I611</f>
        <v>93826805.929999992</v>
      </c>
      <c r="G43" s="317">
        <f t="shared" si="2"/>
        <v>98.316678427677061</v>
      </c>
    </row>
    <row r="44" spans="1:7" x14ac:dyDescent="0.25">
      <c r="A44" s="90">
        <v>33</v>
      </c>
      <c r="B44" s="94" t="s">
        <v>72</v>
      </c>
      <c r="C44" s="95" t="s">
        <v>122</v>
      </c>
      <c r="D44" s="96">
        <f>'приложение 4'!G646</f>
        <v>4905304.04</v>
      </c>
      <c r="E44" s="96">
        <f>'приложение 4'!H646</f>
        <v>4905304.04</v>
      </c>
      <c r="F44" s="96">
        <f>'приложение 4'!I646</f>
        <v>4894654.75</v>
      </c>
      <c r="G44" s="317">
        <f t="shared" si="2"/>
        <v>99.782902549706179</v>
      </c>
    </row>
    <row r="45" spans="1:7" ht="31.5" customHeight="1" x14ac:dyDescent="0.25">
      <c r="A45" s="90">
        <v>34</v>
      </c>
      <c r="B45" s="91" t="s">
        <v>123</v>
      </c>
      <c r="C45" s="92" t="s">
        <v>124</v>
      </c>
      <c r="D45" s="99">
        <f t="shared" ref="D45" si="13">D46+D47+D49+D48</f>
        <v>30712915.470000003</v>
      </c>
      <c r="E45" s="99">
        <f t="shared" ref="E45:F45" si="14">E46+E47+E49+E48</f>
        <v>25708815.469999999</v>
      </c>
      <c r="F45" s="99">
        <f t="shared" si="14"/>
        <v>19649615.880000003</v>
      </c>
      <c r="G45" s="317">
        <f t="shared" si="2"/>
        <v>76.431432256882601</v>
      </c>
    </row>
    <row r="46" spans="1:7" x14ac:dyDescent="0.25">
      <c r="A46" s="90">
        <v>35</v>
      </c>
      <c r="B46" s="94" t="s">
        <v>75</v>
      </c>
      <c r="C46" s="95" t="s">
        <v>125</v>
      </c>
      <c r="D46" s="96">
        <f>'приложение 4'!G313</f>
        <v>1000000</v>
      </c>
      <c r="E46" s="96">
        <f>'приложение 4'!H313</f>
        <v>1000000</v>
      </c>
      <c r="F46" s="96">
        <f>'приложение 4'!I313</f>
        <v>981024.84</v>
      </c>
      <c r="G46" s="317">
        <f t="shared" si="2"/>
        <v>98.102484000000004</v>
      </c>
    </row>
    <row r="47" spans="1:7" x14ac:dyDescent="0.25">
      <c r="A47" s="90">
        <v>36</v>
      </c>
      <c r="B47" s="94" t="s">
        <v>77</v>
      </c>
      <c r="C47" s="95" t="s">
        <v>126</v>
      </c>
      <c r="D47" s="96">
        <f>'приложение 4'!G554+'приложение 4'!G316</f>
        <v>20955440.920000002</v>
      </c>
      <c r="E47" s="96">
        <f>'приложение 4'!H554+'приложение 4'!H316</f>
        <v>17855440.919999998</v>
      </c>
      <c r="F47" s="96">
        <f>'приложение 4'!I554+'приложение 4'!I316</f>
        <v>12071530.580000002</v>
      </c>
      <c r="G47" s="317">
        <f t="shared" si="2"/>
        <v>67.607014769815066</v>
      </c>
    </row>
    <row r="48" spans="1:7" x14ac:dyDescent="0.25">
      <c r="A48" s="90">
        <v>37</v>
      </c>
      <c r="B48" s="97" t="s">
        <v>57</v>
      </c>
      <c r="C48" s="95">
        <v>1004</v>
      </c>
      <c r="D48" s="96">
        <f>'приложение 4'!G571+'приложение 4'!G322</f>
        <v>4999100</v>
      </c>
      <c r="E48" s="96">
        <f>'приложение 4'!H571+'приложение 4'!H322</f>
        <v>2920000</v>
      </c>
      <c r="F48" s="96">
        <f>'приложение 4'!I571+'приложение 4'!I322</f>
        <v>2900940.87</v>
      </c>
      <c r="G48" s="317">
        <f t="shared" si="2"/>
        <v>99.347290068493152</v>
      </c>
    </row>
    <row r="49" spans="1:7" x14ac:dyDescent="0.25">
      <c r="A49" s="90">
        <v>38</v>
      </c>
      <c r="B49" s="94" t="s">
        <v>78</v>
      </c>
      <c r="C49" s="95" t="s">
        <v>127</v>
      </c>
      <c r="D49" s="105">
        <f>'приложение 4'!G328</f>
        <v>3758374.55</v>
      </c>
      <c r="E49" s="105">
        <f>'приложение 4'!H328</f>
        <v>3933374.55</v>
      </c>
      <c r="F49" s="105">
        <f>'приложение 4'!I328</f>
        <v>3696119.59</v>
      </c>
      <c r="G49" s="317">
        <f t="shared" si="2"/>
        <v>93.968157443841704</v>
      </c>
    </row>
    <row r="50" spans="1:7" x14ac:dyDescent="0.25">
      <c r="A50" s="90">
        <v>39</v>
      </c>
      <c r="B50" s="106" t="s">
        <v>251</v>
      </c>
      <c r="C50" s="107">
        <v>1100</v>
      </c>
      <c r="D50" s="108">
        <f>D51+D52</f>
        <v>169800</v>
      </c>
      <c r="E50" s="108">
        <f t="shared" ref="E50:F50" si="15">E51+E52</f>
        <v>169800</v>
      </c>
      <c r="F50" s="108">
        <f t="shared" si="15"/>
        <v>169799</v>
      </c>
      <c r="G50" s="317">
        <f t="shared" si="2"/>
        <v>99.999411071849238</v>
      </c>
    </row>
    <row r="51" spans="1:7" x14ac:dyDescent="0.25">
      <c r="A51" s="90">
        <v>40</v>
      </c>
      <c r="B51" s="97" t="s">
        <v>247</v>
      </c>
      <c r="C51" s="95">
        <v>1101</v>
      </c>
      <c r="D51" s="105">
        <f>'приложение 4'!G661</f>
        <v>120000</v>
      </c>
      <c r="E51" s="105">
        <f>'приложение 4'!H661</f>
        <v>120000</v>
      </c>
      <c r="F51" s="105">
        <f>'приложение 4'!I661</f>
        <v>119999</v>
      </c>
      <c r="G51" s="317">
        <f t="shared" si="2"/>
        <v>99.999166666666667</v>
      </c>
    </row>
    <row r="52" spans="1:7" x14ac:dyDescent="0.25">
      <c r="A52" s="90">
        <v>41</v>
      </c>
      <c r="B52" s="97" t="s">
        <v>456</v>
      </c>
      <c r="C52" s="95">
        <v>1102</v>
      </c>
      <c r="D52" s="105">
        <f>'приложение 4'!G89</f>
        <v>49800</v>
      </c>
      <c r="E52" s="105">
        <f>'приложение 4'!H89</f>
        <v>49800</v>
      </c>
      <c r="F52" s="105">
        <f>'приложение 4'!I89</f>
        <v>49800</v>
      </c>
      <c r="G52" s="317">
        <f t="shared" si="2"/>
        <v>100</v>
      </c>
    </row>
    <row r="53" spans="1:7" ht="31.5" x14ac:dyDescent="0.25">
      <c r="A53" s="90">
        <v>42</v>
      </c>
      <c r="B53" s="106" t="s">
        <v>405</v>
      </c>
      <c r="C53" s="107">
        <v>1300</v>
      </c>
      <c r="D53" s="108">
        <f t="shared" ref="D53:F53" si="16">D54</f>
        <v>18743.839999999997</v>
      </c>
      <c r="E53" s="108">
        <f t="shared" si="16"/>
        <v>18743.84</v>
      </c>
      <c r="F53" s="108">
        <f t="shared" si="16"/>
        <v>18743.84</v>
      </c>
      <c r="G53" s="317">
        <f t="shared" si="2"/>
        <v>100</v>
      </c>
    </row>
    <row r="54" spans="1:7" x14ac:dyDescent="0.25">
      <c r="A54" s="90">
        <v>43</v>
      </c>
      <c r="B54" s="97" t="s">
        <v>406</v>
      </c>
      <c r="C54" s="95">
        <v>1301</v>
      </c>
      <c r="D54" s="105">
        <f>'приложение 4'!G95</f>
        <v>18743.839999999997</v>
      </c>
      <c r="E54" s="105">
        <f>'приложение 4'!H95</f>
        <v>18743.84</v>
      </c>
      <c r="F54" s="105">
        <f>'приложение 4'!I95</f>
        <v>18743.84</v>
      </c>
      <c r="G54" s="317">
        <f t="shared" si="2"/>
        <v>100</v>
      </c>
    </row>
    <row r="55" spans="1:7" ht="63" x14ac:dyDescent="0.25">
      <c r="A55" s="90">
        <v>44</v>
      </c>
      <c r="B55" s="91" t="s">
        <v>161</v>
      </c>
      <c r="C55" s="92" t="s">
        <v>128</v>
      </c>
      <c r="D55" s="93">
        <f t="shared" ref="D55" si="17">D56+D57</f>
        <v>165042534.45000002</v>
      </c>
      <c r="E55" s="93">
        <f t="shared" ref="E55:F55" si="18">E56+E57</f>
        <v>165042534.44999999</v>
      </c>
      <c r="F55" s="93">
        <f t="shared" si="18"/>
        <v>165042534.44999999</v>
      </c>
      <c r="G55" s="317">
        <f t="shared" si="2"/>
        <v>100</v>
      </c>
    </row>
    <row r="56" spans="1:7" x14ac:dyDescent="0.25">
      <c r="A56" s="90">
        <v>45</v>
      </c>
      <c r="B56" s="94" t="s">
        <v>162</v>
      </c>
      <c r="C56" s="95" t="s">
        <v>129</v>
      </c>
      <c r="D56" s="105">
        <f>'приложение 4'!G102</f>
        <v>34921997.68</v>
      </c>
      <c r="E56" s="105">
        <f>'приложение 4'!H102</f>
        <v>34921997.68</v>
      </c>
      <c r="F56" s="105">
        <f>'приложение 4'!I102</f>
        <v>34921997.68</v>
      </c>
      <c r="G56" s="317">
        <f t="shared" si="2"/>
        <v>100</v>
      </c>
    </row>
    <row r="57" spans="1:7" x14ac:dyDescent="0.25">
      <c r="A57" s="90">
        <v>46</v>
      </c>
      <c r="B57" s="94" t="s">
        <v>28</v>
      </c>
      <c r="C57" s="95" t="s">
        <v>130</v>
      </c>
      <c r="D57" s="105">
        <f>'приложение 4'!G111</f>
        <v>130120536.77000001</v>
      </c>
      <c r="E57" s="105">
        <f>'приложение 4'!H111</f>
        <v>130120536.77</v>
      </c>
      <c r="F57" s="105">
        <f>'приложение 4'!I111</f>
        <v>130120536.77</v>
      </c>
      <c r="G57" s="317">
        <f t="shared" si="2"/>
        <v>100</v>
      </c>
    </row>
    <row r="58" spans="1:7" ht="30.75" customHeight="1" x14ac:dyDescent="0.25">
      <c r="A58" s="319" t="s">
        <v>131</v>
      </c>
      <c r="B58" s="319"/>
      <c r="C58" s="92" t="s">
        <v>132</v>
      </c>
      <c r="D58" s="93">
        <f>D12+D20+D22+D24+D30+D36+D42+D45+D50+D55+D53+D33</f>
        <v>1543173008.1900001</v>
      </c>
      <c r="E58" s="93">
        <f>E12+E20+E22+E24+E30+E36+E42+E45+E50+E55+E53+E33</f>
        <v>1539521650.9899998</v>
      </c>
      <c r="F58" s="93">
        <f>F12+F20+F22+F24+F30+F36+F42+F45+F50+F55+F53+F33</f>
        <v>1491696033.7299998</v>
      </c>
      <c r="G58" s="317">
        <f t="shared" si="2"/>
        <v>96.893475500702081</v>
      </c>
    </row>
    <row r="60" spans="1:7" x14ac:dyDescent="0.25">
      <c r="D60" s="13">
        <f>D58-'приложение 4'!G710</f>
        <v>0</v>
      </c>
      <c r="E60" s="13">
        <f>E58-'приложение 4'!H710</f>
        <v>0</v>
      </c>
      <c r="F60" s="13">
        <f>F58-'приложение 4'!I710</f>
        <v>0</v>
      </c>
    </row>
  </sheetData>
  <mergeCells count="2">
    <mergeCell ref="A58:B58"/>
    <mergeCell ref="A7:F7"/>
  </mergeCells>
  <pageMargins left="0.31496062992125984" right="0.19685039370078741" top="0.74803149606299213" bottom="0.31496062992125984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8"/>
  <sheetViews>
    <sheetView view="pageBreakPreview" topLeftCell="A237" zoomScale="93" zoomScaleNormal="100" zoomScaleSheetLayoutView="93" workbookViewId="0">
      <selection activeCell="B261" sqref="B261"/>
    </sheetView>
  </sheetViews>
  <sheetFormatPr defaultRowHeight="15" x14ac:dyDescent="0.25"/>
  <cols>
    <col min="1" max="1" width="5.5703125" style="46" customWidth="1"/>
    <col min="2" max="2" width="95.140625" style="290" customWidth="1"/>
    <col min="3" max="4" width="11.140625" style="291" customWidth="1"/>
    <col min="5" max="5" width="12.7109375" style="292" customWidth="1"/>
    <col min="6" max="6" width="9.140625" style="291" customWidth="1"/>
    <col min="7" max="7" width="20" style="285" customWidth="1"/>
    <col min="8" max="8" width="20.7109375" style="285" customWidth="1"/>
    <col min="9" max="9" width="20.5703125" style="46" customWidth="1"/>
    <col min="10" max="10" width="21" style="147" customWidth="1"/>
    <col min="11" max="11" width="18.42578125" style="147" customWidth="1"/>
    <col min="12" max="12" width="17.5703125" style="147" customWidth="1"/>
    <col min="13" max="16384" width="9.140625" style="46"/>
  </cols>
  <sheetData>
    <row r="1" spans="1:16" x14ac:dyDescent="0.25">
      <c r="A1" s="148"/>
      <c r="H1" s="293" t="s">
        <v>446</v>
      </c>
      <c r="I1" s="285"/>
      <c r="J1" s="285"/>
    </row>
    <row r="2" spans="1:16" x14ac:dyDescent="0.25">
      <c r="H2" s="294" t="s">
        <v>150</v>
      </c>
      <c r="I2" s="285"/>
      <c r="J2" s="285"/>
    </row>
    <row r="3" spans="1:16" x14ac:dyDescent="0.25">
      <c r="H3" s="294" t="s">
        <v>244</v>
      </c>
      <c r="I3" s="285"/>
      <c r="J3" s="285"/>
    </row>
    <row r="4" spans="1:16" x14ac:dyDescent="0.25">
      <c r="F4" s="46"/>
      <c r="G4" s="46"/>
      <c r="H4" s="294" t="s">
        <v>440</v>
      </c>
      <c r="I4" s="285"/>
      <c r="J4" s="285"/>
    </row>
    <row r="5" spans="1:16" x14ac:dyDescent="0.25">
      <c r="F5" s="46"/>
      <c r="G5" s="46"/>
      <c r="H5" s="294"/>
      <c r="I5" s="285"/>
      <c r="J5" s="285"/>
    </row>
    <row r="6" spans="1:16" x14ac:dyDescent="0.25">
      <c r="A6" s="321" t="s">
        <v>593</v>
      </c>
      <c r="B6" s="321"/>
      <c r="C6" s="321"/>
      <c r="D6" s="321"/>
      <c r="E6" s="321"/>
      <c r="F6" s="321"/>
      <c r="G6" s="321"/>
      <c r="H6" s="321"/>
      <c r="I6" s="321"/>
    </row>
    <row r="7" spans="1:16" x14ac:dyDescent="0.25">
      <c r="A7" s="321"/>
      <c r="B7" s="321"/>
      <c r="C7" s="321"/>
      <c r="D7" s="321"/>
      <c r="E7" s="321"/>
      <c r="F7" s="321"/>
      <c r="G7" s="321"/>
      <c r="H7" s="321"/>
      <c r="I7" s="321"/>
    </row>
    <row r="8" spans="1:16" x14ac:dyDescent="0.25">
      <c r="A8" s="275"/>
      <c r="B8" s="275"/>
      <c r="C8" s="275"/>
      <c r="D8" s="275"/>
      <c r="E8" s="206"/>
      <c r="F8" s="275"/>
      <c r="G8" s="275"/>
      <c r="H8" s="275"/>
      <c r="I8" s="255"/>
    </row>
    <row r="9" spans="1:16" x14ac:dyDescent="0.25">
      <c r="A9" s="20"/>
      <c r="B9" s="21"/>
      <c r="C9" s="22"/>
      <c r="D9" s="22"/>
      <c r="E9" s="22"/>
      <c r="G9" s="19"/>
      <c r="J9" s="254" t="s">
        <v>499</v>
      </c>
    </row>
    <row r="10" spans="1:16" ht="45" x14ac:dyDescent="0.25">
      <c r="A10" s="23" t="s">
        <v>0</v>
      </c>
      <c r="B10" s="23" t="s">
        <v>1</v>
      </c>
      <c r="C10" s="24" t="s">
        <v>2</v>
      </c>
      <c r="D10" s="24" t="s">
        <v>3</v>
      </c>
      <c r="E10" s="24" t="s">
        <v>4</v>
      </c>
      <c r="F10" s="24" t="s">
        <v>5</v>
      </c>
      <c r="G10" s="25" t="s">
        <v>589</v>
      </c>
      <c r="H10" s="25" t="s">
        <v>590</v>
      </c>
      <c r="I10" s="25" t="s">
        <v>591</v>
      </c>
      <c r="J10" s="27" t="s">
        <v>592</v>
      </c>
      <c r="M10" s="295"/>
      <c r="N10" s="295"/>
      <c r="O10" s="295"/>
    </row>
    <row r="11" spans="1:16" x14ac:dyDescent="0.25">
      <c r="A11" s="26"/>
      <c r="B11" s="24" t="s">
        <v>6</v>
      </c>
      <c r="C11" s="24" t="s">
        <v>7</v>
      </c>
      <c r="D11" s="24" t="s">
        <v>8</v>
      </c>
      <c r="E11" s="24" t="s">
        <v>9</v>
      </c>
      <c r="F11" s="24" t="s">
        <v>10</v>
      </c>
      <c r="G11" s="271">
        <v>7</v>
      </c>
      <c r="H11" s="271">
        <v>8</v>
      </c>
      <c r="I11" s="288">
        <v>9</v>
      </c>
      <c r="J11" s="289">
        <v>10</v>
      </c>
      <c r="M11" s="295"/>
      <c r="N11" s="295"/>
      <c r="O11" s="295"/>
      <c r="P11" s="296"/>
    </row>
    <row r="12" spans="1:16" ht="34.5" customHeight="1" x14ac:dyDescent="0.25">
      <c r="A12" s="276">
        <v>1</v>
      </c>
      <c r="B12" s="297" t="s">
        <v>226</v>
      </c>
      <c r="C12" s="42" t="s">
        <v>157</v>
      </c>
      <c r="D12" s="41"/>
      <c r="E12" s="42"/>
      <c r="F12" s="41"/>
      <c r="G12" s="44">
        <f>G13+G34+G41+G48+G61+G81+G88+G95+G101+G68</f>
        <v>219015632.08000004</v>
      </c>
      <c r="H12" s="44">
        <f t="shared" ref="H12:I12" si="0">H13+H34+H41+H48+H61+H81+H88+H95+H101+H68</f>
        <v>219015632.07999998</v>
      </c>
      <c r="I12" s="44">
        <f t="shared" si="0"/>
        <v>211087848.39999998</v>
      </c>
      <c r="J12" s="207">
        <f>I12/H12*100</f>
        <v>96.380265826366113</v>
      </c>
      <c r="M12" s="295"/>
      <c r="N12" s="295"/>
      <c r="O12" s="295"/>
    </row>
    <row r="13" spans="1:16" x14ac:dyDescent="0.25">
      <c r="A13" s="276">
        <v>2</v>
      </c>
      <c r="B13" s="298" t="s">
        <v>84</v>
      </c>
      <c r="C13" s="281" t="s">
        <v>157</v>
      </c>
      <c r="D13" s="281" t="s">
        <v>85</v>
      </c>
      <c r="E13" s="281"/>
      <c r="F13" s="276"/>
      <c r="G13" s="27">
        <f>G14+G28</f>
        <v>19507318.059999999</v>
      </c>
      <c r="H13" s="27">
        <f>H14+H28</f>
        <v>19507318.059999999</v>
      </c>
      <c r="I13" s="27">
        <f>I14+I28</f>
        <v>19279247.25</v>
      </c>
      <c r="J13" s="207">
        <f t="shared" ref="J13:J76" si="1">I13/H13*100</f>
        <v>98.830844869097305</v>
      </c>
      <c r="M13" s="295"/>
      <c r="N13" s="295"/>
      <c r="O13" s="295"/>
    </row>
    <row r="14" spans="1:16" ht="30" x14ac:dyDescent="0.25">
      <c r="A14" s="276">
        <v>3</v>
      </c>
      <c r="B14" s="282" t="s">
        <v>11</v>
      </c>
      <c r="C14" s="281" t="s">
        <v>157</v>
      </c>
      <c r="D14" s="281" t="s">
        <v>91</v>
      </c>
      <c r="E14" s="281"/>
      <c r="F14" s="276"/>
      <c r="G14" s="27">
        <f>G15</f>
        <v>19402518.059999999</v>
      </c>
      <c r="H14" s="27">
        <f t="shared" ref="H14:I14" si="2">H15</f>
        <v>19402518.059999999</v>
      </c>
      <c r="I14" s="27">
        <f t="shared" si="2"/>
        <v>19194364.280000001</v>
      </c>
      <c r="J14" s="207">
        <f t="shared" si="1"/>
        <v>98.927181619641814</v>
      </c>
      <c r="M14" s="295"/>
      <c r="N14" s="295"/>
      <c r="O14" s="295"/>
    </row>
    <row r="15" spans="1:16" x14ac:dyDescent="0.25">
      <c r="A15" s="276">
        <v>4</v>
      </c>
      <c r="B15" s="277" t="s">
        <v>12</v>
      </c>
      <c r="C15" s="281" t="s">
        <v>157</v>
      </c>
      <c r="D15" s="281" t="s">
        <v>91</v>
      </c>
      <c r="E15" s="281" t="s">
        <v>166</v>
      </c>
      <c r="F15" s="276"/>
      <c r="G15" s="27">
        <f t="shared" ref="G15:I15" si="3">G16</f>
        <v>19402518.059999999</v>
      </c>
      <c r="H15" s="27">
        <f t="shared" si="3"/>
        <v>19402518.059999999</v>
      </c>
      <c r="I15" s="27">
        <f t="shared" si="3"/>
        <v>19194364.280000001</v>
      </c>
      <c r="J15" s="207">
        <f t="shared" si="1"/>
        <v>98.927181619641814</v>
      </c>
      <c r="M15" s="295"/>
      <c r="N15" s="295"/>
      <c r="O15" s="295"/>
    </row>
    <row r="16" spans="1:16" x14ac:dyDescent="0.25">
      <c r="A16" s="276">
        <v>5</v>
      </c>
      <c r="B16" s="277" t="s">
        <v>13</v>
      </c>
      <c r="C16" s="281" t="s">
        <v>157</v>
      </c>
      <c r="D16" s="281" t="s">
        <v>91</v>
      </c>
      <c r="E16" s="281" t="s">
        <v>167</v>
      </c>
      <c r="F16" s="276"/>
      <c r="G16" s="27">
        <f>G17+G25</f>
        <v>19402518.059999999</v>
      </c>
      <c r="H16" s="27">
        <f t="shared" ref="H16:I16" si="4">H17+H25</f>
        <v>19402518.059999999</v>
      </c>
      <c r="I16" s="27">
        <f t="shared" si="4"/>
        <v>19194364.280000001</v>
      </c>
      <c r="J16" s="207">
        <f t="shared" si="1"/>
        <v>98.927181619641814</v>
      </c>
      <c r="M16" s="295"/>
      <c r="N16" s="295"/>
      <c r="O16" s="295"/>
    </row>
    <row r="17" spans="1:15" ht="60" x14ac:dyDescent="0.25">
      <c r="A17" s="276">
        <v>6</v>
      </c>
      <c r="B17" s="283" t="s">
        <v>362</v>
      </c>
      <c r="C17" s="281" t="s">
        <v>157</v>
      </c>
      <c r="D17" s="281" t="s">
        <v>91</v>
      </c>
      <c r="E17" s="281" t="s">
        <v>168</v>
      </c>
      <c r="F17" s="276"/>
      <c r="G17" s="27">
        <f t="shared" ref="G17" si="5">G18+G20+G22</f>
        <v>16523062.029999999</v>
      </c>
      <c r="H17" s="27">
        <f t="shared" ref="H17:I17" si="6">H18+H20+H22</f>
        <v>16523062.029999999</v>
      </c>
      <c r="I17" s="27">
        <f t="shared" si="6"/>
        <v>16322368.02</v>
      </c>
      <c r="J17" s="207">
        <f t="shared" si="1"/>
        <v>98.785370353051931</v>
      </c>
      <c r="M17" s="295"/>
      <c r="N17" s="295"/>
      <c r="O17" s="295"/>
    </row>
    <row r="18" spans="1:15" ht="45" x14ac:dyDescent="0.25">
      <c r="A18" s="276">
        <v>7</v>
      </c>
      <c r="B18" s="282" t="s">
        <v>14</v>
      </c>
      <c r="C18" s="281" t="s">
        <v>157</v>
      </c>
      <c r="D18" s="281" t="s">
        <v>91</v>
      </c>
      <c r="E18" s="281" t="s">
        <v>168</v>
      </c>
      <c r="F18" s="276">
        <v>100</v>
      </c>
      <c r="G18" s="27">
        <f t="shared" ref="G18:I18" si="7">G19</f>
        <v>14565033.029999999</v>
      </c>
      <c r="H18" s="27">
        <f t="shared" si="7"/>
        <v>14565033.029999999</v>
      </c>
      <c r="I18" s="27">
        <f t="shared" si="7"/>
        <v>14369426.74</v>
      </c>
      <c r="J18" s="207">
        <f t="shared" si="1"/>
        <v>98.657014442760939</v>
      </c>
      <c r="M18" s="295"/>
      <c r="N18" s="295"/>
      <c r="O18" s="295"/>
    </row>
    <row r="19" spans="1:15" x14ac:dyDescent="0.25">
      <c r="A19" s="276">
        <v>8</v>
      </c>
      <c r="B19" s="282" t="s">
        <v>15</v>
      </c>
      <c r="C19" s="281" t="s">
        <v>157</v>
      </c>
      <c r="D19" s="281" t="s">
        <v>91</v>
      </c>
      <c r="E19" s="281" t="s">
        <v>168</v>
      </c>
      <c r="F19" s="276">
        <v>120</v>
      </c>
      <c r="G19" s="27">
        <f>14675701.35+164926+949158-164926+316386-58529-1317683.32</f>
        <v>14565033.029999999</v>
      </c>
      <c r="H19" s="27">
        <v>14565033.029999999</v>
      </c>
      <c r="I19" s="146">
        <v>14369426.74</v>
      </c>
      <c r="J19" s="207">
        <f t="shared" si="1"/>
        <v>98.657014442760939</v>
      </c>
      <c r="M19" s="295"/>
      <c r="N19" s="295"/>
      <c r="O19" s="295"/>
    </row>
    <row r="20" spans="1:15" x14ac:dyDescent="0.25">
      <c r="A20" s="276">
        <v>9</v>
      </c>
      <c r="B20" s="282" t="s">
        <v>19</v>
      </c>
      <c r="C20" s="281" t="s">
        <v>157</v>
      </c>
      <c r="D20" s="281" t="s">
        <v>91</v>
      </c>
      <c r="E20" s="281" t="s">
        <v>168</v>
      </c>
      <c r="F20" s="276">
        <v>200</v>
      </c>
      <c r="G20" s="27">
        <f t="shared" ref="G20:I20" si="8">G21</f>
        <v>1953029</v>
      </c>
      <c r="H20" s="27">
        <f t="shared" si="8"/>
        <v>1953029</v>
      </c>
      <c r="I20" s="27">
        <f t="shared" si="8"/>
        <v>1952939.91</v>
      </c>
      <c r="J20" s="207">
        <f t="shared" si="1"/>
        <v>99.995438367786647</v>
      </c>
      <c r="M20" s="295"/>
      <c r="N20" s="295"/>
      <c r="O20" s="295"/>
    </row>
    <row r="21" spans="1:15" x14ac:dyDescent="0.25">
      <c r="A21" s="276">
        <v>10</v>
      </c>
      <c r="B21" s="282" t="s">
        <v>20</v>
      </c>
      <c r="C21" s="281" t="s">
        <v>157</v>
      </c>
      <c r="D21" s="281" t="s">
        <v>91</v>
      </c>
      <c r="E21" s="281" t="s">
        <v>168</v>
      </c>
      <c r="F21" s="276">
        <v>240</v>
      </c>
      <c r="G21" s="27">
        <f>1634500+260000+58529</f>
        <v>1953029</v>
      </c>
      <c r="H21" s="27">
        <v>1953029</v>
      </c>
      <c r="I21" s="146">
        <v>1952939.91</v>
      </c>
      <c r="J21" s="207">
        <f t="shared" si="1"/>
        <v>99.995438367786647</v>
      </c>
      <c r="M21" s="295"/>
      <c r="N21" s="295"/>
      <c r="O21" s="295"/>
    </row>
    <row r="22" spans="1:15" x14ac:dyDescent="0.25">
      <c r="A22" s="276">
        <v>11</v>
      </c>
      <c r="B22" s="283" t="s">
        <v>31</v>
      </c>
      <c r="C22" s="281" t="s">
        <v>157</v>
      </c>
      <c r="D22" s="281" t="s">
        <v>91</v>
      </c>
      <c r="E22" s="281" t="s">
        <v>168</v>
      </c>
      <c r="F22" s="276">
        <v>800</v>
      </c>
      <c r="G22" s="27">
        <f t="shared" ref="G22:I22" si="9">G23+G24</f>
        <v>5000</v>
      </c>
      <c r="H22" s="27">
        <f t="shared" si="9"/>
        <v>5000</v>
      </c>
      <c r="I22" s="27">
        <f t="shared" si="9"/>
        <v>1.37</v>
      </c>
      <c r="J22" s="207">
        <f t="shared" si="1"/>
        <v>2.7400000000000004E-2</v>
      </c>
      <c r="M22" s="295"/>
      <c r="N22" s="295"/>
      <c r="O22" s="295"/>
    </row>
    <row r="23" spans="1:15" x14ac:dyDescent="0.25">
      <c r="A23" s="276">
        <v>12</v>
      </c>
      <c r="B23" s="283" t="s">
        <v>37</v>
      </c>
      <c r="C23" s="281" t="s">
        <v>157</v>
      </c>
      <c r="D23" s="281" t="s">
        <v>91</v>
      </c>
      <c r="E23" s="281" t="s">
        <v>168</v>
      </c>
      <c r="F23" s="276">
        <v>830</v>
      </c>
      <c r="G23" s="27">
        <v>2500</v>
      </c>
      <c r="H23" s="27">
        <v>2500</v>
      </c>
      <c r="I23" s="27"/>
      <c r="J23" s="207">
        <f t="shared" si="1"/>
        <v>0</v>
      </c>
      <c r="M23" s="295"/>
      <c r="N23" s="295"/>
      <c r="O23" s="295"/>
    </row>
    <row r="24" spans="1:15" x14ac:dyDescent="0.25">
      <c r="A24" s="276">
        <v>13</v>
      </c>
      <c r="B24" s="282" t="s">
        <v>79</v>
      </c>
      <c r="C24" s="281" t="s">
        <v>157</v>
      </c>
      <c r="D24" s="281" t="s">
        <v>91</v>
      </c>
      <c r="E24" s="281" t="s">
        <v>168</v>
      </c>
      <c r="F24" s="276">
        <v>850</v>
      </c>
      <c r="G24" s="27">
        <v>2500</v>
      </c>
      <c r="H24" s="27">
        <v>2500</v>
      </c>
      <c r="I24" s="146">
        <v>1.37</v>
      </c>
      <c r="J24" s="207">
        <f t="shared" si="1"/>
        <v>5.4800000000000008E-2</v>
      </c>
      <c r="M24" s="295"/>
      <c r="N24" s="295"/>
      <c r="O24" s="295"/>
    </row>
    <row r="25" spans="1:15" ht="60" x14ac:dyDescent="0.25">
      <c r="A25" s="276">
        <v>14</v>
      </c>
      <c r="B25" s="283" t="s">
        <v>363</v>
      </c>
      <c r="C25" s="281" t="s">
        <v>157</v>
      </c>
      <c r="D25" s="281" t="s">
        <v>91</v>
      </c>
      <c r="E25" s="281" t="s">
        <v>364</v>
      </c>
      <c r="F25" s="276"/>
      <c r="G25" s="27">
        <f t="shared" ref="G25:I26" si="10">G26</f>
        <v>2879456.03</v>
      </c>
      <c r="H25" s="27">
        <f t="shared" si="10"/>
        <v>2879456.03</v>
      </c>
      <c r="I25" s="27">
        <f t="shared" si="10"/>
        <v>2871996.26</v>
      </c>
      <c r="J25" s="207">
        <f t="shared" si="1"/>
        <v>99.740931275828515</v>
      </c>
      <c r="M25" s="295"/>
      <c r="N25" s="295"/>
      <c r="O25" s="295"/>
    </row>
    <row r="26" spans="1:15" ht="45" x14ac:dyDescent="0.25">
      <c r="A26" s="276">
        <v>15</v>
      </c>
      <c r="B26" s="282" t="s">
        <v>14</v>
      </c>
      <c r="C26" s="281" t="s">
        <v>157</v>
      </c>
      <c r="D26" s="281" t="s">
        <v>91</v>
      </c>
      <c r="E26" s="281" t="s">
        <v>364</v>
      </c>
      <c r="F26" s="276">
        <v>100</v>
      </c>
      <c r="G26" s="27">
        <f t="shared" si="10"/>
        <v>2879456.03</v>
      </c>
      <c r="H26" s="27">
        <f t="shared" si="10"/>
        <v>2879456.03</v>
      </c>
      <c r="I26" s="27">
        <f t="shared" si="10"/>
        <v>2871996.26</v>
      </c>
      <c r="J26" s="207">
        <f t="shared" si="1"/>
        <v>99.740931275828515</v>
      </c>
      <c r="M26" s="295"/>
      <c r="N26" s="295"/>
      <c r="O26" s="295"/>
    </row>
    <row r="27" spans="1:15" x14ac:dyDescent="0.25">
      <c r="A27" s="276">
        <v>16</v>
      </c>
      <c r="B27" s="282" t="s">
        <v>15</v>
      </c>
      <c r="C27" s="281" t="s">
        <v>157</v>
      </c>
      <c r="D27" s="281" t="s">
        <v>91</v>
      </c>
      <c r="E27" s="281" t="s">
        <v>364</v>
      </c>
      <c r="F27" s="276">
        <v>120</v>
      </c>
      <c r="G27" s="27">
        <f>2478341.4+316386+84728.63</f>
        <v>2879456.03</v>
      </c>
      <c r="H27" s="27">
        <v>2879456.03</v>
      </c>
      <c r="I27" s="146">
        <v>2871996.26</v>
      </c>
      <c r="J27" s="207">
        <f t="shared" si="1"/>
        <v>99.740931275828515</v>
      </c>
      <c r="M27" s="295"/>
      <c r="N27" s="295"/>
      <c r="O27" s="295"/>
    </row>
    <row r="28" spans="1:15" x14ac:dyDescent="0.25">
      <c r="A28" s="276">
        <v>17</v>
      </c>
      <c r="B28" s="283" t="s">
        <v>34</v>
      </c>
      <c r="C28" s="281" t="s">
        <v>157</v>
      </c>
      <c r="D28" s="281" t="s">
        <v>93</v>
      </c>
      <c r="E28" s="281"/>
      <c r="F28" s="276"/>
      <c r="G28" s="27">
        <f t="shared" ref="G28:I28" si="11">G29</f>
        <v>104800</v>
      </c>
      <c r="H28" s="27">
        <f t="shared" si="11"/>
        <v>104800</v>
      </c>
      <c r="I28" s="27">
        <f t="shared" si="11"/>
        <v>84882.97</v>
      </c>
      <c r="J28" s="207">
        <f t="shared" si="1"/>
        <v>80.995200381679382</v>
      </c>
      <c r="M28" s="295"/>
      <c r="N28" s="295"/>
      <c r="O28" s="295"/>
    </row>
    <row r="29" spans="1:15" x14ac:dyDescent="0.25">
      <c r="A29" s="276">
        <v>18</v>
      </c>
      <c r="B29" s="277" t="s">
        <v>22</v>
      </c>
      <c r="C29" s="281" t="s">
        <v>157</v>
      </c>
      <c r="D29" s="281" t="s">
        <v>93</v>
      </c>
      <c r="E29" s="281">
        <v>9200000000</v>
      </c>
      <c r="F29" s="276"/>
      <c r="G29" s="27">
        <f t="shared" ref="G29:H29" si="12">G31</f>
        <v>104800</v>
      </c>
      <c r="H29" s="27">
        <f t="shared" si="12"/>
        <v>104800</v>
      </c>
      <c r="I29" s="27">
        <f t="shared" ref="I29" si="13">I31</f>
        <v>84882.97</v>
      </c>
      <c r="J29" s="207">
        <f t="shared" si="1"/>
        <v>80.995200381679382</v>
      </c>
      <c r="M29" s="295"/>
      <c r="N29" s="295"/>
      <c r="O29" s="295"/>
    </row>
    <row r="30" spans="1:15" x14ac:dyDescent="0.25">
      <c r="A30" s="276">
        <v>19</v>
      </c>
      <c r="B30" s="277" t="s">
        <v>259</v>
      </c>
      <c r="C30" s="281" t="s">
        <v>157</v>
      </c>
      <c r="D30" s="281" t="s">
        <v>93</v>
      </c>
      <c r="E30" s="281">
        <v>9210000000</v>
      </c>
      <c r="F30" s="276"/>
      <c r="G30" s="27">
        <f t="shared" ref="G30:I31" si="14">G31</f>
        <v>104800</v>
      </c>
      <c r="H30" s="27">
        <f t="shared" si="14"/>
        <v>104800</v>
      </c>
      <c r="I30" s="27">
        <f t="shared" si="14"/>
        <v>84882.97</v>
      </c>
      <c r="J30" s="207">
        <f t="shared" si="1"/>
        <v>80.995200381679382</v>
      </c>
      <c r="M30" s="295"/>
      <c r="N30" s="295"/>
      <c r="O30" s="295"/>
    </row>
    <row r="31" spans="1:15" ht="45" x14ac:dyDescent="0.25">
      <c r="A31" s="276">
        <v>20</v>
      </c>
      <c r="B31" s="277" t="s">
        <v>393</v>
      </c>
      <c r="C31" s="281" t="s">
        <v>157</v>
      </c>
      <c r="D31" s="281" t="s">
        <v>93</v>
      </c>
      <c r="E31" s="281">
        <v>9210075140</v>
      </c>
      <c r="F31" s="276"/>
      <c r="G31" s="27">
        <f t="shared" si="14"/>
        <v>104800</v>
      </c>
      <c r="H31" s="27">
        <f t="shared" si="14"/>
        <v>104800</v>
      </c>
      <c r="I31" s="27">
        <f t="shared" si="14"/>
        <v>84882.97</v>
      </c>
      <c r="J31" s="207">
        <f t="shared" si="1"/>
        <v>80.995200381679382</v>
      </c>
      <c r="M31" s="295"/>
      <c r="N31" s="295"/>
      <c r="O31" s="295"/>
    </row>
    <row r="32" spans="1:15" x14ac:dyDescent="0.25">
      <c r="A32" s="276">
        <v>21</v>
      </c>
      <c r="B32" s="282" t="s">
        <v>17</v>
      </c>
      <c r="C32" s="281" t="s">
        <v>157</v>
      </c>
      <c r="D32" s="281" t="s">
        <v>93</v>
      </c>
      <c r="E32" s="281">
        <v>9210075140</v>
      </c>
      <c r="F32" s="276">
        <v>500</v>
      </c>
      <c r="G32" s="27">
        <f t="shared" ref="G32:I32" si="15">G33</f>
        <v>104800</v>
      </c>
      <c r="H32" s="27">
        <f t="shared" si="15"/>
        <v>104800</v>
      </c>
      <c r="I32" s="27">
        <f t="shared" si="15"/>
        <v>84882.97</v>
      </c>
      <c r="J32" s="207">
        <f t="shared" si="1"/>
        <v>80.995200381679382</v>
      </c>
      <c r="M32" s="295"/>
      <c r="N32" s="295"/>
      <c r="O32" s="295"/>
    </row>
    <row r="33" spans="1:15" x14ac:dyDescent="0.25">
      <c r="A33" s="276">
        <v>22</v>
      </c>
      <c r="B33" s="282" t="s">
        <v>18</v>
      </c>
      <c r="C33" s="281" t="s">
        <v>157</v>
      </c>
      <c r="D33" s="281" t="s">
        <v>93</v>
      </c>
      <c r="E33" s="281">
        <v>9210075140</v>
      </c>
      <c r="F33" s="276">
        <v>530</v>
      </c>
      <c r="G33" s="27">
        <f>93000+11800</f>
        <v>104800</v>
      </c>
      <c r="H33" s="27">
        <v>104800</v>
      </c>
      <c r="I33" s="146">
        <v>84882.97</v>
      </c>
      <c r="J33" s="207">
        <f t="shared" si="1"/>
        <v>80.995200381679382</v>
      </c>
      <c r="M33" s="295"/>
      <c r="N33" s="295"/>
      <c r="O33" s="295"/>
    </row>
    <row r="34" spans="1:15" x14ac:dyDescent="0.25">
      <c r="A34" s="276">
        <v>23</v>
      </c>
      <c r="B34" s="298" t="s">
        <v>94</v>
      </c>
      <c r="C34" s="281" t="s">
        <v>157</v>
      </c>
      <c r="D34" s="281" t="s">
        <v>95</v>
      </c>
      <c r="E34" s="281"/>
      <c r="F34" s="276"/>
      <c r="G34" s="27">
        <f t="shared" ref="G34:I34" si="16">G35</f>
        <v>2959800</v>
      </c>
      <c r="H34" s="27">
        <f t="shared" si="16"/>
        <v>2959800</v>
      </c>
      <c r="I34" s="27">
        <f t="shared" si="16"/>
        <v>2959800</v>
      </c>
      <c r="J34" s="207">
        <f t="shared" si="1"/>
        <v>100</v>
      </c>
      <c r="M34" s="295"/>
      <c r="N34" s="295"/>
      <c r="O34" s="295"/>
    </row>
    <row r="35" spans="1:15" x14ac:dyDescent="0.25">
      <c r="A35" s="276">
        <v>24</v>
      </c>
      <c r="B35" s="282" t="s">
        <v>21</v>
      </c>
      <c r="C35" s="281" t="s">
        <v>157</v>
      </c>
      <c r="D35" s="281" t="s">
        <v>96</v>
      </c>
      <c r="E35" s="281"/>
      <c r="F35" s="276"/>
      <c r="G35" s="27">
        <f t="shared" ref="G35" si="17">G38</f>
        <v>2959800</v>
      </c>
      <c r="H35" s="27">
        <f t="shared" ref="H35:I35" si="18">H38</f>
        <v>2959800</v>
      </c>
      <c r="I35" s="27">
        <f t="shared" si="18"/>
        <v>2959800</v>
      </c>
      <c r="J35" s="207">
        <f t="shared" si="1"/>
        <v>100</v>
      </c>
      <c r="M35" s="295"/>
      <c r="N35" s="295"/>
      <c r="O35" s="295"/>
    </row>
    <row r="36" spans="1:15" x14ac:dyDescent="0.25">
      <c r="A36" s="276">
        <v>25</v>
      </c>
      <c r="B36" s="282" t="s">
        <v>22</v>
      </c>
      <c r="C36" s="281" t="s">
        <v>157</v>
      </c>
      <c r="D36" s="281" t="s">
        <v>96</v>
      </c>
      <c r="E36" s="281">
        <v>9200000000</v>
      </c>
      <c r="F36" s="276"/>
      <c r="G36" s="27">
        <f>G38</f>
        <v>2959800</v>
      </c>
      <c r="H36" s="27">
        <f>H38</f>
        <v>2959800</v>
      </c>
      <c r="I36" s="27">
        <f>I38</f>
        <v>2959800</v>
      </c>
      <c r="J36" s="207">
        <f t="shared" si="1"/>
        <v>100</v>
      </c>
      <c r="M36" s="295"/>
      <c r="N36" s="295"/>
      <c r="O36" s="295"/>
    </row>
    <row r="37" spans="1:15" x14ac:dyDescent="0.25">
      <c r="A37" s="276">
        <v>26</v>
      </c>
      <c r="B37" s="277" t="s">
        <v>259</v>
      </c>
      <c r="C37" s="281" t="s">
        <v>157</v>
      </c>
      <c r="D37" s="281" t="s">
        <v>96</v>
      </c>
      <c r="E37" s="281">
        <v>9210000000</v>
      </c>
      <c r="F37" s="276"/>
      <c r="G37" s="27">
        <f t="shared" ref="G37:I37" si="19">G38</f>
        <v>2959800</v>
      </c>
      <c r="H37" s="27">
        <f t="shared" si="19"/>
        <v>2959800</v>
      </c>
      <c r="I37" s="27">
        <f t="shared" si="19"/>
        <v>2959800</v>
      </c>
      <c r="J37" s="207">
        <f t="shared" si="1"/>
        <v>100</v>
      </c>
      <c r="M37" s="295"/>
      <c r="N37" s="295"/>
      <c r="O37" s="295"/>
    </row>
    <row r="38" spans="1:15" ht="30" x14ac:dyDescent="0.25">
      <c r="A38" s="276">
        <v>27</v>
      </c>
      <c r="B38" s="282" t="s">
        <v>365</v>
      </c>
      <c r="C38" s="281" t="s">
        <v>157</v>
      </c>
      <c r="D38" s="281" t="s">
        <v>96</v>
      </c>
      <c r="E38" s="281">
        <v>9210051180</v>
      </c>
      <c r="F38" s="276"/>
      <c r="G38" s="27">
        <f t="shared" ref="G38:I38" si="20">G39</f>
        <v>2959800</v>
      </c>
      <c r="H38" s="27">
        <f t="shared" si="20"/>
        <v>2959800</v>
      </c>
      <c r="I38" s="27">
        <f t="shared" si="20"/>
        <v>2959800</v>
      </c>
      <c r="J38" s="207">
        <f t="shared" si="1"/>
        <v>100</v>
      </c>
      <c r="M38" s="295"/>
      <c r="N38" s="295"/>
      <c r="O38" s="295"/>
    </row>
    <row r="39" spans="1:15" x14ac:dyDescent="0.25">
      <c r="A39" s="276">
        <v>28</v>
      </c>
      <c r="B39" s="282" t="s">
        <v>17</v>
      </c>
      <c r="C39" s="281" t="s">
        <v>157</v>
      </c>
      <c r="D39" s="281" t="s">
        <v>96</v>
      </c>
      <c r="E39" s="281">
        <v>9210051180</v>
      </c>
      <c r="F39" s="276">
        <v>500</v>
      </c>
      <c r="G39" s="27">
        <f>G40</f>
        <v>2959800</v>
      </c>
      <c r="H39" s="27">
        <f>H40</f>
        <v>2959800</v>
      </c>
      <c r="I39" s="27">
        <f>I40</f>
        <v>2959800</v>
      </c>
      <c r="J39" s="207">
        <f t="shared" si="1"/>
        <v>100</v>
      </c>
      <c r="M39" s="295"/>
      <c r="N39" s="295"/>
      <c r="O39" s="295"/>
    </row>
    <row r="40" spans="1:15" x14ac:dyDescent="0.25">
      <c r="A40" s="276">
        <v>29</v>
      </c>
      <c r="B40" s="282" t="s">
        <v>18</v>
      </c>
      <c r="C40" s="281" t="s">
        <v>157</v>
      </c>
      <c r="D40" s="281" t="s">
        <v>96</v>
      </c>
      <c r="E40" s="281">
        <v>9210051180</v>
      </c>
      <c r="F40" s="276">
        <v>530</v>
      </c>
      <c r="G40" s="27">
        <f>2955800+4000</f>
        <v>2959800</v>
      </c>
      <c r="H40" s="27">
        <v>2959800</v>
      </c>
      <c r="I40" s="146">
        <v>2959800</v>
      </c>
      <c r="J40" s="207">
        <f t="shared" si="1"/>
        <v>100</v>
      </c>
      <c r="M40" s="295"/>
      <c r="N40" s="295"/>
      <c r="O40" s="295"/>
    </row>
    <row r="41" spans="1:15" x14ac:dyDescent="0.25">
      <c r="A41" s="276">
        <v>30</v>
      </c>
      <c r="B41" s="282" t="s">
        <v>97</v>
      </c>
      <c r="C41" s="281" t="s">
        <v>157</v>
      </c>
      <c r="D41" s="281" t="s">
        <v>98</v>
      </c>
      <c r="E41" s="276"/>
      <c r="F41" s="276"/>
      <c r="G41" s="27">
        <f t="shared" ref="G41:I46" si="21">G42</f>
        <v>2702800</v>
      </c>
      <c r="H41" s="27">
        <f t="shared" si="21"/>
        <v>2702800</v>
      </c>
      <c r="I41" s="27">
        <f t="shared" si="21"/>
        <v>2624302.46</v>
      </c>
      <c r="J41" s="207">
        <f t="shared" si="1"/>
        <v>97.095695574959294</v>
      </c>
      <c r="M41" s="295"/>
      <c r="N41" s="295"/>
      <c r="O41" s="295"/>
    </row>
    <row r="42" spans="1:15" ht="30" x14ac:dyDescent="0.25">
      <c r="A42" s="276">
        <v>31</v>
      </c>
      <c r="B42" s="282" t="s">
        <v>510</v>
      </c>
      <c r="C42" s="281" t="s">
        <v>157</v>
      </c>
      <c r="D42" s="281" t="s">
        <v>375</v>
      </c>
      <c r="E42" s="276"/>
      <c r="F42" s="276"/>
      <c r="G42" s="27">
        <f t="shared" si="21"/>
        <v>2702800</v>
      </c>
      <c r="H42" s="27">
        <f t="shared" si="21"/>
        <v>2702800</v>
      </c>
      <c r="I42" s="27">
        <f t="shared" si="21"/>
        <v>2624302.46</v>
      </c>
      <c r="J42" s="207">
        <f t="shared" si="1"/>
        <v>97.095695574959294</v>
      </c>
      <c r="M42" s="295"/>
      <c r="N42" s="295"/>
      <c r="O42" s="295"/>
    </row>
    <row r="43" spans="1:15" ht="30" x14ac:dyDescent="0.25">
      <c r="A43" s="276">
        <v>32</v>
      </c>
      <c r="B43" s="282" t="s">
        <v>511</v>
      </c>
      <c r="C43" s="281" t="s">
        <v>157</v>
      </c>
      <c r="D43" s="281" t="s">
        <v>375</v>
      </c>
      <c r="E43" s="281" t="s">
        <v>185</v>
      </c>
      <c r="F43" s="276"/>
      <c r="G43" s="27">
        <f t="shared" si="21"/>
        <v>2702800</v>
      </c>
      <c r="H43" s="27">
        <f t="shared" si="21"/>
        <v>2702800</v>
      </c>
      <c r="I43" s="27">
        <f t="shared" si="21"/>
        <v>2624302.46</v>
      </c>
      <c r="J43" s="207">
        <f t="shared" si="1"/>
        <v>97.095695574959294</v>
      </c>
      <c r="M43" s="295"/>
      <c r="N43" s="295"/>
      <c r="O43" s="295"/>
    </row>
    <row r="44" spans="1:15" ht="30" x14ac:dyDescent="0.25">
      <c r="A44" s="276">
        <v>33</v>
      </c>
      <c r="B44" s="282" t="s">
        <v>290</v>
      </c>
      <c r="C44" s="281" t="s">
        <v>157</v>
      </c>
      <c r="D44" s="281" t="s">
        <v>375</v>
      </c>
      <c r="E44" s="281" t="s">
        <v>186</v>
      </c>
      <c r="F44" s="276"/>
      <c r="G44" s="27">
        <f t="shared" si="21"/>
        <v>2702800</v>
      </c>
      <c r="H44" s="27">
        <f t="shared" si="21"/>
        <v>2702800</v>
      </c>
      <c r="I44" s="27">
        <f t="shared" si="21"/>
        <v>2624302.46</v>
      </c>
      <c r="J44" s="207">
        <f t="shared" si="1"/>
        <v>97.095695574959294</v>
      </c>
      <c r="M44" s="295"/>
      <c r="N44" s="295"/>
      <c r="O44" s="295"/>
    </row>
    <row r="45" spans="1:15" ht="60" x14ac:dyDescent="0.25">
      <c r="A45" s="276">
        <v>34</v>
      </c>
      <c r="B45" s="282" t="s">
        <v>512</v>
      </c>
      <c r="C45" s="281" t="s">
        <v>157</v>
      </c>
      <c r="D45" s="281" t="s">
        <v>375</v>
      </c>
      <c r="E45" s="281" t="s">
        <v>513</v>
      </c>
      <c r="F45" s="276"/>
      <c r="G45" s="27">
        <f t="shared" si="21"/>
        <v>2702800</v>
      </c>
      <c r="H45" s="27">
        <f t="shared" si="21"/>
        <v>2702800</v>
      </c>
      <c r="I45" s="27">
        <f t="shared" si="21"/>
        <v>2624302.46</v>
      </c>
      <c r="J45" s="207">
        <f t="shared" si="1"/>
        <v>97.095695574959294</v>
      </c>
      <c r="M45" s="295"/>
      <c r="N45" s="295"/>
      <c r="O45" s="295"/>
    </row>
    <row r="46" spans="1:15" x14ac:dyDescent="0.25">
      <c r="A46" s="276">
        <v>35</v>
      </c>
      <c r="B46" s="282" t="s">
        <v>514</v>
      </c>
      <c r="C46" s="281" t="s">
        <v>157</v>
      </c>
      <c r="D46" s="281" t="s">
        <v>375</v>
      </c>
      <c r="E46" s="281" t="s">
        <v>513</v>
      </c>
      <c r="F46" s="276">
        <v>500</v>
      </c>
      <c r="G46" s="27">
        <f t="shared" si="21"/>
        <v>2702800</v>
      </c>
      <c r="H46" s="27">
        <f t="shared" si="21"/>
        <v>2702800</v>
      </c>
      <c r="I46" s="27">
        <f t="shared" si="21"/>
        <v>2624302.46</v>
      </c>
      <c r="J46" s="207">
        <f t="shared" si="1"/>
        <v>97.095695574959294</v>
      </c>
      <c r="M46" s="295"/>
      <c r="N46" s="295"/>
      <c r="O46" s="295"/>
    </row>
    <row r="47" spans="1:15" x14ac:dyDescent="0.25">
      <c r="A47" s="276">
        <v>36</v>
      </c>
      <c r="B47" s="282" t="s">
        <v>515</v>
      </c>
      <c r="C47" s="281" t="s">
        <v>157</v>
      </c>
      <c r="D47" s="281" t="s">
        <v>375</v>
      </c>
      <c r="E47" s="281" t="s">
        <v>513</v>
      </c>
      <c r="F47" s="276">
        <v>540</v>
      </c>
      <c r="G47" s="27">
        <v>2702800</v>
      </c>
      <c r="H47" s="27">
        <v>2702800</v>
      </c>
      <c r="I47" s="146">
        <v>2624302.46</v>
      </c>
      <c r="J47" s="207">
        <f t="shared" si="1"/>
        <v>97.095695574959294</v>
      </c>
      <c r="M47" s="295"/>
      <c r="N47" s="295"/>
      <c r="O47" s="295"/>
    </row>
    <row r="48" spans="1:15" x14ac:dyDescent="0.25">
      <c r="A48" s="276">
        <v>37</v>
      </c>
      <c r="B48" s="298" t="s">
        <v>99</v>
      </c>
      <c r="C48" s="281" t="s">
        <v>157</v>
      </c>
      <c r="D48" s="281" t="s">
        <v>100</v>
      </c>
      <c r="E48" s="281"/>
      <c r="F48" s="276"/>
      <c r="G48" s="27">
        <f t="shared" ref="G48:H48" si="22">G49+G55</f>
        <v>22917080.610000003</v>
      </c>
      <c r="H48" s="27">
        <f t="shared" si="22"/>
        <v>22917080.609999999</v>
      </c>
      <c r="I48" s="27">
        <f t="shared" ref="I48" si="23">I49+I55</f>
        <v>20036818.149999999</v>
      </c>
      <c r="J48" s="207">
        <f t="shared" si="1"/>
        <v>87.431809011732582</v>
      </c>
      <c r="K48" s="46"/>
      <c r="L48" s="46"/>
      <c r="M48" s="295"/>
      <c r="N48" s="295"/>
      <c r="O48" s="295"/>
    </row>
    <row r="49" spans="1:15" x14ac:dyDescent="0.25">
      <c r="A49" s="276">
        <v>38</v>
      </c>
      <c r="B49" s="299" t="s">
        <v>23</v>
      </c>
      <c r="C49" s="281" t="s">
        <v>157</v>
      </c>
      <c r="D49" s="300" t="s">
        <v>102</v>
      </c>
      <c r="E49" s="300"/>
      <c r="F49" s="276"/>
      <c r="G49" s="27">
        <f t="shared" ref="G49:I52" si="24">G50</f>
        <v>200000</v>
      </c>
      <c r="H49" s="27">
        <f t="shared" si="24"/>
        <v>200000</v>
      </c>
      <c r="I49" s="27">
        <f t="shared" si="24"/>
        <v>200000</v>
      </c>
      <c r="J49" s="207">
        <f t="shared" si="1"/>
        <v>100</v>
      </c>
      <c r="K49" s="46"/>
      <c r="L49" s="46"/>
      <c r="M49" s="295"/>
      <c r="N49" s="295"/>
      <c r="O49" s="295"/>
    </row>
    <row r="50" spans="1:15" x14ac:dyDescent="0.25">
      <c r="A50" s="276">
        <v>39</v>
      </c>
      <c r="B50" s="74" t="s">
        <v>281</v>
      </c>
      <c r="C50" s="281" t="s">
        <v>157</v>
      </c>
      <c r="D50" s="300" t="s">
        <v>102</v>
      </c>
      <c r="E50" s="281" t="s">
        <v>176</v>
      </c>
      <c r="F50" s="276"/>
      <c r="G50" s="27">
        <f t="shared" si="24"/>
        <v>200000</v>
      </c>
      <c r="H50" s="27">
        <f t="shared" si="24"/>
        <v>200000</v>
      </c>
      <c r="I50" s="27">
        <f t="shared" si="24"/>
        <v>200000</v>
      </c>
      <c r="J50" s="207">
        <f t="shared" si="1"/>
        <v>100</v>
      </c>
      <c r="K50" s="46"/>
      <c r="L50" s="46"/>
      <c r="M50" s="295"/>
      <c r="N50" s="295"/>
      <c r="O50" s="295"/>
    </row>
    <row r="51" spans="1:15" x14ac:dyDescent="0.25">
      <c r="A51" s="276">
        <v>40</v>
      </c>
      <c r="B51" s="74" t="s">
        <v>38</v>
      </c>
      <c r="C51" s="281" t="s">
        <v>157</v>
      </c>
      <c r="D51" s="300" t="s">
        <v>102</v>
      </c>
      <c r="E51" s="281" t="s">
        <v>289</v>
      </c>
      <c r="F51" s="276"/>
      <c r="G51" s="27">
        <f t="shared" si="24"/>
        <v>200000</v>
      </c>
      <c r="H51" s="27">
        <f t="shared" si="24"/>
        <v>200000</v>
      </c>
      <c r="I51" s="27">
        <f t="shared" si="24"/>
        <v>200000</v>
      </c>
      <c r="J51" s="207">
        <f t="shared" si="1"/>
        <v>100</v>
      </c>
      <c r="K51" s="46"/>
      <c r="L51" s="46"/>
      <c r="M51" s="295"/>
      <c r="N51" s="295"/>
      <c r="O51" s="295"/>
    </row>
    <row r="52" spans="1:15" ht="30" x14ac:dyDescent="0.25">
      <c r="A52" s="276">
        <v>41</v>
      </c>
      <c r="B52" s="299" t="s">
        <v>282</v>
      </c>
      <c r="C52" s="281" t="s">
        <v>157</v>
      </c>
      <c r="D52" s="300" t="s">
        <v>102</v>
      </c>
      <c r="E52" s="281" t="s">
        <v>260</v>
      </c>
      <c r="F52" s="276"/>
      <c r="G52" s="27">
        <f t="shared" si="24"/>
        <v>200000</v>
      </c>
      <c r="H52" s="27">
        <f t="shared" si="24"/>
        <v>200000</v>
      </c>
      <c r="I52" s="27">
        <f t="shared" si="24"/>
        <v>200000</v>
      </c>
      <c r="J52" s="207">
        <f t="shared" si="1"/>
        <v>100</v>
      </c>
      <c r="K52" s="46"/>
      <c r="L52" s="46"/>
      <c r="M52" s="295"/>
      <c r="N52" s="295"/>
      <c r="O52" s="295"/>
    </row>
    <row r="53" spans="1:15" x14ac:dyDescent="0.25">
      <c r="A53" s="276">
        <v>42</v>
      </c>
      <c r="B53" s="282" t="s">
        <v>17</v>
      </c>
      <c r="C53" s="281" t="s">
        <v>157</v>
      </c>
      <c r="D53" s="300" t="s">
        <v>102</v>
      </c>
      <c r="E53" s="281" t="s">
        <v>260</v>
      </c>
      <c r="F53" s="276">
        <v>500</v>
      </c>
      <c r="G53" s="27">
        <f t="shared" ref="G53:I53" si="25">G54</f>
        <v>200000</v>
      </c>
      <c r="H53" s="27">
        <f t="shared" si="25"/>
        <v>200000</v>
      </c>
      <c r="I53" s="27">
        <f t="shared" si="25"/>
        <v>200000</v>
      </c>
      <c r="J53" s="207">
        <f t="shared" si="1"/>
        <v>100</v>
      </c>
      <c r="K53" s="46"/>
      <c r="L53" s="46"/>
      <c r="M53" s="295"/>
      <c r="N53" s="295"/>
      <c r="O53" s="295"/>
    </row>
    <row r="54" spans="1:15" x14ac:dyDescent="0.25">
      <c r="A54" s="276">
        <v>43</v>
      </c>
      <c r="B54" s="282" t="s">
        <v>24</v>
      </c>
      <c r="C54" s="281" t="s">
        <v>157</v>
      </c>
      <c r="D54" s="300" t="s">
        <v>102</v>
      </c>
      <c r="E54" s="281" t="s">
        <v>260</v>
      </c>
      <c r="F54" s="276">
        <v>540</v>
      </c>
      <c r="G54" s="27">
        <v>200000</v>
      </c>
      <c r="H54" s="27">
        <v>200000</v>
      </c>
      <c r="I54" s="146">
        <v>200000</v>
      </c>
      <c r="J54" s="207">
        <f t="shared" si="1"/>
        <v>100</v>
      </c>
      <c r="K54" s="46"/>
      <c r="L54" s="46"/>
      <c r="M54" s="295"/>
      <c r="N54" s="295"/>
      <c r="O54" s="295"/>
    </row>
    <row r="55" spans="1:15" x14ac:dyDescent="0.25">
      <c r="A55" s="276">
        <v>44</v>
      </c>
      <c r="B55" s="283" t="s">
        <v>105</v>
      </c>
      <c r="C55" s="281" t="s">
        <v>157</v>
      </c>
      <c r="D55" s="300" t="s">
        <v>106</v>
      </c>
      <c r="E55" s="281"/>
      <c r="F55" s="276"/>
      <c r="G55" s="27">
        <f t="shared" ref="G55:I57" si="26">G56</f>
        <v>22717080.610000003</v>
      </c>
      <c r="H55" s="27">
        <f t="shared" si="26"/>
        <v>22717080.609999999</v>
      </c>
      <c r="I55" s="27">
        <f t="shared" si="26"/>
        <v>19836818.149999999</v>
      </c>
      <c r="J55" s="207">
        <f t="shared" si="1"/>
        <v>87.321159309827351</v>
      </c>
      <c r="K55" s="46"/>
      <c r="L55" s="46"/>
      <c r="M55" s="295"/>
      <c r="N55" s="295"/>
      <c r="O55" s="295"/>
    </row>
    <row r="56" spans="1:15" x14ac:dyDescent="0.25">
      <c r="A56" s="276">
        <v>45</v>
      </c>
      <c r="B56" s="283" t="s">
        <v>42</v>
      </c>
      <c r="C56" s="281" t="s">
        <v>157</v>
      </c>
      <c r="D56" s="300" t="s">
        <v>106</v>
      </c>
      <c r="E56" s="281">
        <v>1000000000</v>
      </c>
      <c r="F56" s="276"/>
      <c r="G56" s="27">
        <f>G57</f>
        <v>22717080.610000003</v>
      </c>
      <c r="H56" s="27">
        <f t="shared" si="26"/>
        <v>22717080.609999999</v>
      </c>
      <c r="I56" s="27">
        <f t="shared" si="26"/>
        <v>19836818.149999999</v>
      </c>
      <c r="J56" s="207">
        <f t="shared" si="1"/>
        <v>87.321159309827351</v>
      </c>
      <c r="K56" s="46"/>
      <c r="L56" s="46"/>
      <c r="M56" s="295"/>
      <c r="N56" s="295"/>
      <c r="O56" s="295"/>
    </row>
    <row r="57" spans="1:15" x14ac:dyDescent="0.25">
      <c r="A57" s="276">
        <v>46</v>
      </c>
      <c r="B57" s="283" t="s">
        <v>252</v>
      </c>
      <c r="C57" s="281" t="s">
        <v>157</v>
      </c>
      <c r="D57" s="300" t="s">
        <v>106</v>
      </c>
      <c r="E57" s="281">
        <v>1040000000</v>
      </c>
      <c r="F57" s="276"/>
      <c r="G57" s="27">
        <f>G58</f>
        <v>22717080.610000003</v>
      </c>
      <c r="H57" s="27">
        <f t="shared" si="26"/>
        <v>22717080.609999999</v>
      </c>
      <c r="I57" s="27">
        <f t="shared" si="26"/>
        <v>19836818.149999999</v>
      </c>
      <c r="J57" s="207">
        <f t="shared" si="1"/>
        <v>87.321159309827351</v>
      </c>
      <c r="K57" s="46"/>
      <c r="L57" s="46"/>
      <c r="M57" s="295"/>
      <c r="N57" s="295"/>
      <c r="O57" s="295"/>
    </row>
    <row r="58" spans="1:15" x14ac:dyDescent="0.25">
      <c r="A58" s="276">
        <v>47</v>
      </c>
      <c r="B58" s="283"/>
      <c r="C58" s="281" t="s">
        <v>157</v>
      </c>
      <c r="D58" s="300" t="s">
        <v>106</v>
      </c>
      <c r="E58" s="281">
        <v>1040082230</v>
      </c>
      <c r="F58" s="276"/>
      <c r="G58" s="27">
        <f t="shared" ref="G58:I59" si="27">G59</f>
        <v>22717080.610000003</v>
      </c>
      <c r="H58" s="27">
        <f t="shared" si="27"/>
        <v>22717080.609999999</v>
      </c>
      <c r="I58" s="27">
        <f t="shared" si="27"/>
        <v>19836818.149999999</v>
      </c>
      <c r="J58" s="207">
        <f t="shared" si="1"/>
        <v>87.321159309827351</v>
      </c>
      <c r="K58" s="46"/>
      <c r="L58" s="46"/>
      <c r="M58" s="295"/>
      <c r="N58" s="295"/>
      <c r="O58" s="295"/>
    </row>
    <row r="59" spans="1:15" x14ac:dyDescent="0.25">
      <c r="A59" s="276">
        <v>48</v>
      </c>
      <c r="B59" s="282" t="s">
        <v>17</v>
      </c>
      <c r="C59" s="281" t="s">
        <v>157</v>
      </c>
      <c r="D59" s="300" t="s">
        <v>106</v>
      </c>
      <c r="E59" s="281">
        <v>1040082230</v>
      </c>
      <c r="F59" s="276">
        <v>500</v>
      </c>
      <c r="G59" s="27">
        <f t="shared" si="27"/>
        <v>22717080.610000003</v>
      </c>
      <c r="H59" s="27">
        <f t="shared" si="27"/>
        <v>22717080.609999999</v>
      </c>
      <c r="I59" s="27">
        <f t="shared" si="27"/>
        <v>19836818.149999999</v>
      </c>
      <c r="J59" s="207">
        <f t="shared" si="1"/>
        <v>87.321159309827351</v>
      </c>
      <c r="K59" s="46"/>
      <c r="L59" s="46"/>
      <c r="M59" s="295"/>
      <c r="N59" s="295"/>
      <c r="O59" s="295"/>
    </row>
    <row r="60" spans="1:15" x14ac:dyDescent="0.25">
      <c r="A60" s="276">
        <v>49</v>
      </c>
      <c r="B60" s="282" t="s">
        <v>24</v>
      </c>
      <c r="C60" s="281" t="s">
        <v>157</v>
      </c>
      <c r="D60" s="300" t="s">
        <v>106</v>
      </c>
      <c r="E60" s="281" t="s">
        <v>584</v>
      </c>
      <c r="F60" s="276">
        <v>540</v>
      </c>
      <c r="G60" s="27">
        <f>24066926.73-596537.04-753309.08</f>
        <v>22717080.610000003</v>
      </c>
      <c r="H60" s="27">
        <v>22717080.609999999</v>
      </c>
      <c r="I60" s="146">
        <v>19836818.149999999</v>
      </c>
      <c r="J60" s="207">
        <f t="shared" si="1"/>
        <v>87.321159309827351</v>
      </c>
      <c r="K60" s="46"/>
      <c r="L60" s="46"/>
      <c r="M60" s="295"/>
      <c r="N60" s="295"/>
      <c r="O60" s="295"/>
    </row>
    <row r="61" spans="1:15" x14ac:dyDescent="0.25">
      <c r="A61" s="276">
        <v>50</v>
      </c>
      <c r="B61" s="283" t="s">
        <v>108</v>
      </c>
      <c r="C61" s="281" t="s">
        <v>157</v>
      </c>
      <c r="D61" s="300" t="s">
        <v>109</v>
      </c>
      <c r="E61" s="281"/>
      <c r="F61" s="276"/>
      <c r="G61" s="27">
        <f t="shared" ref="G61:I65" si="28">G62</f>
        <v>976920</v>
      </c>
      <c r="H61" s="27">
        <f t="shared" si="28"/>
        <v>976920</v>
      </c>
      <c r="I61" s="27">
        <f t="shared" si="28"/>
        <v>976920</v>
      </c>
      <c r="J61" s="207">
        <f t="shared" si="1"/>
        <v>100</v>
      </c>
      <c r="K61" s="46"/>
      <c r="L61" s="46"/>
      <c r="M61" s="295"/>
      <c r="N61" s="295"/>
      <c r="O61" s="295"/>
    </row>
    <row r="62" spans="1:15" x14ac:dyDescent="0.25">
      <c r="A62" s="276">
        <v>51</v>
      </c>
      <c r="B62" s="277" t="s">
        <v>50</v>
      </c>
      <c r="C62" s="281" t="s">
        <v>157</v>
      </c>
      <c r="D62" s="300" t="s">
        <v>111</v>
      </c>
      <c r="E62" s="281"/>
      <c r="F62" s="276"/>
      <c r="G62" s="27">
        <f>G63</f>
        <v>976920</v>
      </c>
      <c r="H62" s="27">
        <f t="shared" si="28"/>
        <v>976920</v>
      </c>
      <c r="I62" s="27">
        <f t="shared" si="28"/>
        <v>976920</v>
      </c>
      <c r="J62" s="207">
        <f t="shared" si="1"/>
        <v>100</v>
      </c>
      <c r="K62" s="46"/>
      <c r="L62" s="46"/>
      <c r="M62" s="295"/>
      <c r="N62" s="295"/>
      <c r="O62" s="295"/>
    </row>
    <row r="63" spans="1:15" ht="30" x14ac:dyDescent="0.25">
      <c r="A63" s="276">
        <v>52</v>
      </c>
      <c r="B63" s="277" t="s">
        <v>51</v>
      </c>
      <c r="C63" s="281" t="s">
        <v>157</v>
      </c>
      <c r="D63" s="300" t="s">
        <v>111</v>
      </c>
      <c r="E63" s="281" t="s">
        <v>169</v>
      </c>
      <c r="F63" s="276"/>
      <c r="G63" s="27">
        <f>G64</f>
        <v>976920</v>
      </c>
      <c r="H63" s="27">
        <f t="shared" si="28"/>
        <v>976920</v>
      </c>
      <c r="I63" s="27">
        <f t="shared" si="28"/>
        <v>976920</v>
      </c>
      <c r="J63" s="207">
        <f t="shared" si="1"/>
        <v>100</v>
      </c>
      <c r="K63" s="46"/>
      <c r="L63" s="46"/>
      <c r="M63" s="295"/>
      <c r="N63" s="295"/>
      <c r="O63" s="295"/>
    </row>
    <row r="64" spans="1:15" x14ac:dyDescent="0.25">
      <c r="A64" s="276">
        <v>53</v>
      </c>
      <c r="B64" s="283" t="s">
        <v>473</v>
      </c>
      <c r="C64" s="281" t="s">
        <v>157</v>
      </c>
      <c r="D64" s="300" t="s">
        <v>111</v>
      </c>
      <c r="E64" s="281" t="s">
        <v>170</v>
      </c>
      <c r="F64" s="276"/>
      <c r="G64" s="27">
        <f>G65</f>
        <v>976920</v>
      </c>
      <c r="H64" s="27">
        <f t="shared" si="28"/>
        <v>976920</v>
      </c>
      <c r="I64" s="27">
        <f t="shared" si="28"/>
        <v>976920</v>
      </c>
      <c r="J64" s="207">
        <f t="shared" si="1"/>
        <v>100</v>
      </c>
      <c r="K64" s="46"/>
      <c r="L64" s="46"/>
      <c r="M64" s="295"/>
      <c r="N64" s="295"/>
      <c r="O64" s="295"/>
    </row>
    <row r="65" spans="1:15" ht="45" x14ac:dyDescent="0.25">
      <c r="A65" s="276">
        <v>54</v>
      </c>
      <c r="B65" s="283" t="s">
        <v>474</v>
      </c>
      <c r="C65" s="281" t="s">
        <v>157</v>
      </c>
      <c r="D65" s="300" t="s">
        <v>111</v>
      </c>
      <c r="E65" s="281" t="s">
        <v>475</v>
      </c>
      <c r="F65" s="276"/>
      <c r="G65" s="27">
        <f>G66</f>
        <v>976920</v>
      </c>
      <c r="H65" s="27">
        <f t="shared" si="28"/>
        <v>976920</v>
      </c>
      <c r="I65" s="27">
        <f t="shared" si="28"/>
        <v>976920</v>
      </c>
      <c r="J65" s="207">
        <f t="shared" si="1"/>
        <v>100</v>
      </c>
      <c r="K65" s="46"/>
      <c r="L65" s="46"/>
      <c r="M65" s="295"/>
      <c r="N65" s="295"/>
      <c r="O65" s="295"/>
    </row>
    <row r="66" spans="1:15" x14ac:dyDescent="0.25">
      <c r="A66" s="276">
        <v>55</v>
      </c>
      <c r="B66" s="282" t="s">
        <v>17</v>
      </c>
      <c r="C66" s="281" t="s">
        <v>157</v>
      </c>
      <c r="D66" s="300" t="s">
        <v>111</v>
      </c>
      <c r="E66" s="281" t="s">
        <v>475</v>
      </c>
      <c r="F66" s="276">
        <v>500</v>
      </c>
      <c r="G66" s="27">
        <v>976920</v>
      </c>
      <c r="H66" s="27">
        <f>H67</f>
        <v>976920</v>
      </c>
      <c r="I66" s="27">
        <f>I67</f>
        <v>976920</v>
      </c>
      <c r="J66" s="207">
        <f t="shared" si="1"/>
        <v>100</v>
      </c>
      <c r="K66" s="46"/>
      <c r="L66" s="46"/>
      <c r="M66" s="295"/>
      <c r="N66" s="295"/>
      <c r="O66" s="295"/>
    </row>
    <row r="67" spans="1:15" x14ac:dyDescent="0.25">
      <c r="A67" s="276">
        <v>56</v>
      </c>
      <c r="B67" s="282" t="s">
        <v>24</v>
      </c>
      <c r="C67" s="281" t="s">
        <v>157</v>
      </c>
      <c r="D67" s="300" t="s">
        <v>111</v>
      </c>
      <c r="E67" s="281" t="s">
        <v>475</v>
      </c>
      <c r="F67" s="276">
        <v>540</v>
      </c>
      <c r="G67" s="27">
        <f>G66</f>
        <v>976920</v>
      </c>
      <c r="H67" s="27">
        <v>976920</v>
      </c>
      <c r="I67" s="27">
        <v>976920</v>
      </c>
      <c r="J67" s="207">
        <f t="shared" si="1"/>
        <v>100</v>
      </c>
      <c r="K67" s="46"/>
      <c r="L67" s="46"/>
      <c r="M67" s="295"/>
      <c r="N67" s="295"/>
      <c r="O67" s="295"/>
    </row>
    <row r="68" spans="1:15" x14ac:dyDescent="0.25">
      <c r="A68" s="276">
        <v>57</v>
      </c>
      <c r="B68" s="282" t="s">
        <v>407</v>
      </c>
      <c r="C68" s="281" t="s">
        <v>157</v>
      </c>
      <c r="D68" s="300" t="s">
        <v>408</v>
      </c>
      <c r="E68" s="281"/>
      <c r="F68" s="276"/>
      <c r="G68" s="27">
        <f>G75+G69</f>
        <v>4740635.12</v>
      </c>
      <c r="H68" s="27">
        <f t="shared" ref="H68:I68" si="29">H75+H69</f>
        <v>4740635.12</v>
      </c>
      <c r="I68" s="27">
        <f t="shared" si="29"/>
        <v>0</v>
      </c>
      <c r="J68" s="207">
        <f t="shared" si="1"/>
        <v>0</v>
      </c>
      <c r="K68" s="46"/>
      <c r="L68" s="46"/>
      <c r="M68" s="295"/>
      <c r="N68" s="295"/>
      <c r="O68" s="295"/>
    </row>
    <row r="69" spans="1:15" x14ac:dyDescent="0.25">
      <c r="A69" s="276">
        <v>58</v>
      </c>
      <c r="B69" s="282" t="s">
        <v>411</v>
      </c>
      <c r="C69" s="281" t="s">
        <v>157</v>
      </c>
      <c r="D69" s="300" t="s">
        <v>409</v>
      </c>
      <c r="E69" s="281"/>
      <c r="F69" s="276"/>
      <c r="G69" s="27">
        <f>G70</f>
        <v>973120</v>
      </c>
      <c r="H69" s="27">
        <f>H70</f>
        <v>973120</v>
      </c>
      <c r="I69" s="27">
        <f t="shared" ref="I69" si="30">I70</f>
        <v>0</v>
      </c>
      <c r="J69" s="207">
        <f t="shared" si="1"/>
        <v>0</v>
      </c>
      <c r="K69" s="46"/>
      <c r="L69" s="46"/>
      <c r="M69" s="295"/>
      <c r="N69" s="295"/>
      <c r="O69" s="295"/>
    </row>
    <row r="70" spans="1:15" ht="30" x14ac:dyDescent="0.25">
      <c r="A70" s="276">
        <v>59</v>
      </c>
      <c r="B70" s="282" t="s">
        <v>476</v>
      </c>
      <c r="C70" s="281" t="s">
        <v>157</v>
      </c>
      <c r="D70" s="300" t="s">
        <v>409</v>
      </c>
      <c r="E70" s="281" t="s">
        <v>477</v>
      </c>
      <c r="F70" s="276"/>
      <c r="G70" s="27">
        <f>G71</f>
        <v>973120</v>
      </c>
      <c r="H70" s="27">
        <f t="shared" ref="H70:I70" si="31">H71</f>
        <v>973120</v>
      </c>
      <c r="I70" s="27">
        <f t="shared" si="31"/>
        <v>0</v>
      </c>
      <c r="J70" s="207">
        <f t="shared" si="1"/>
        <v>0</v>
      </c>
      <c r="K70" s="46"/>
      <c r="L70" s="46"/>
      <c r="M70" s="295"/>
      <c r="N70" s="295"/>
      <c r="O70" s="295"/>
    </row>
    <row r="71" spans="1:15" ht="30" x14ac:dyDescent="0.25">
      <c r="A71" s="276">
        <v>60</v>
      </c>
      <c r="B71" s="282" t="s">
        <v>576</v>
      </c>
      <c r="C71" s="281" t="s">
        <v>157</v>
      </c>
      <c r="D71" s="300" t="s">
        <v>409</v>
      </c>
      <c r="E71" s="281" t="s">
        <v>479</v>
      </c>
      <c r="F71" s="276"/>
      <c r="G71" s="27">
        <f>G72</f>
        <v>973120</v>
      </c>
      <c r="H71" s="27">
        <f t="shared" ref="H71:I71" si="32">H72</f>
        <v>973120</v>
      </c>
      <c r="I71" s="27">
        <f t="shared" si="32"/>
        <v>0</v>
      </c>
      <c r="J71" s="207">
        <f t="shared" si="1"/>
        <v>0</v>
      </c>
      <c r="K71" s="46"/>
      <c r="L71" s="46"/>
      <c r="M71" s="295"/>
      <c r="N71" s="295"/>
      <c r="O71" s="295"/>
    </row>
    <row r="72" spans="1:15" ht="64.5" customHeight="1" x14ac:dyDescent="0.25">
      <c r="A72" s="276">
        <v>61</v>
      </c>
      <c r="B72" s="282" t="s">
        <v>577</v>
      </c>
      <c r="C72" s="281" t="s">
        <v>157</v>
      </c>
      <c r="D72" s="300" t="s">
        <v>409</v>
      </c>
      <c r="E72" s="281" t="s">
        <v>574</v>
      </c>
      <c r="F72" s="276"/>
      <c r="G72" s="27">
        <f>G73</f>
        <v>973120</v>
      </c>
      <c r="H72" s="27">
        <f t="shared" ref="H72:I72" si="33">H73</f>
        <v>973120</v>
      </c>
      <c r="I72" s="27">
        <f t="shared" si="33"/>
        <v>0</v>
      </c>
      <c r="J72" s="207">
        <f t="shared" si="1"/>
        <v>0</v>
      </c>
      <c r="K72" s="46"/>
      <c r="L72" s="46"/>
      <c r="M72" s="295"/>
      <c r="N72" s="295"/>
      <c r="O72" s="295"/>
    </row>
    <row r="73" spans="1:15" x14ac:dyDescent="0.25">
      <c r="A73" s="276">
        <v>62</v>
      </c>
      <c r="B73" s="282" t="s">
        <v>514</v>
      </c>
      <c r="C73" s="281" t="s">
        <v>157</v>
      </c>
      <c r="D73" s="300" t="s">
        <v>409</v>
      </c>
      <c r="E73" s="281" t="s">
        <v>574</v>
      </c>
      <c r="F73" s="276">
        <v>500</v>
      </c>
      <c r="G73" s="27">
        <f>G74</f>
        <v>973120</v>
      </c>
      <c r="H73" s="27">
        <f t="shared" ref="H73:I73" si="34">H74</f>
        <v>973120</v>
      </c>
      <c r="I73" s="27">
        <f t="shared" si="34"/>
        <v>0</v>
      </c>
      <c r="J73" s="207">
        <f t="shared" si="1"/>
        <v>0</v>
      </c>
      <c r="K73" s="46"/>
      <c r="L73" s="46"/>
      <c r="M73" s="295"/>
      <c r="N73" s="295"/>
      <c r="O73" s="295"/>
    </row>
    <row r="74" spans="1:15" x14ac:dyDescent="0.25">
      <c r="A74" s="276">
        <v>63</v>
      </c>
      <c r="B74" s="282" t="s">
        <v>575</v>
      </c>
      <c r="C74" s="281" t="s">
        <v>157</v>
      </c>
      <c r="D74" s="300" t="s">
        <v>409</v>
      </c>
      <c r="E74" s="281" t="s">
        <v>574</v>
      </c>
      <c r="F74" s="276">
        <v>540</v>
      </c>
      <c r="G74" s="27">
        <v>973120</v>
      </c>
      <c r="H74" s="27">
        <v>973120</v>
      </c>
      <c r="I74" s="27">
        <v>0</v>
      </c>
      <c r="J74" s="207">
        <f t="shared" si="1"/>
        <v>0</v>
      </c>
      <c r="K74" s="46"/>
      <c r="L74" s="46"/>
      <c r="M74" s="295"/>
      <c r="N74" s="295"/>
      <c r="O74" s="295"/>
    </row>
    <row r="75" spans="1:15" x14ac:dyDescent="0.25">
      <c r="A75" s="276">
        <v>64</v>
      </c>
      <c r="B75" s="282" t="s">
        <v>559</v>
      </c>
      <c r="C75" s="281" t="s">
        <v>157</v>
      </c>
      <c r="D75" s="300" t="s">
        <v>415</v>
      </c>
      <c r="E75" s="281"/>
      <c r="F75" s="276"/>
      <c r="G75" s="27">
        <f t="shared" ref="G75:I79" si="35">G76</f>
        <v>3767515.12</v>
      </c>
      <c r="H75" s="27">
        <f t="shared" si="35"/>
        <v>3767515.12</v>
      </c>
      <c r="I75" s="27">
        <f t="shared" si="35"/>
        <v>0</v>
      </c>
      <c r="J75" s="207">
        <f t="shared" si="1"/>
        <v>0</v>
      </c>
      <c r="K75" s="46"/>
      <c r="L75" s="46"/>
      <c r="M75" s="295"/>
      <c r="N75" s="295"/>
      <c r="O75" s="295"/>
    </row>
    <row r="76" spans="1:15" ht="43.5" customHeight="1" x14ac:dyDescent="0.25">
      <c r="A76" s="276">
        <v>65</v>
      </c>
      <c r="B76" s="282" t="s">
        <v>476</v>
      </c>
      <c r="C76" s="281" t="s">
        <v>157</v>
      </c>
      <c r="D76" s="300" t="s">
        <v>415</v>
      </c>
      <c r="E76" s="281" t="s">
        <v>477</v>
      </c>
      <c r="F76" s="276"/>
      <c r="G76" s="27">
        <f t="shared" si="35"/>
        <v>3767515.12</v>
      </c>
      <c r="H76" s="27">
        <f t="shared" si="35"/>
        <v>3767515.12</v>
      </c>
      <c r="I76" s="27">
        <f t="shared" si="35"/>
        <v>0</v>
      </c>
      <c r="J76" s="207">
        <f t="shared" si="1"/>
        <v>0</v>
      </c>
      <c r="K76" s="46"/>
      <c r="L76" s="46"/>
      <c r="M76" s="295"/>
      <c r="N76" s="295"/>
      <c r="O76" s="295"/>
    </row>
    <row r="77" spans="1:15" ht="34.5" customHeight="1" x14ac:dyDescent="0.25">
      <c r="A77" s="276">
        <v>66</v>
      </c>
      <c r="B77" s="282" t="s">
        <v>478</v>
      </c>
      <c r="C77" s="281" t="s">
        <v>157</v>
      </c>
      <c r="D77" s="300" t="s">
        <v>415</v>
      </c>
      <c r="E77" s="281" t="s">
        <v>479</v>
      </c>
      <c r="F77" s="276"/>
      <c r="G77" s="27">
        <f t="shared" si="35"/>
        <v>3767515.12</v>
      </c>
      <c r="H77" s="27">
        <f t="shared" si="35"/>
        <v>3767515.12</v>
      </c>
      <c r="I77" s="27">
        <f t="shared" si="35"/>
        <v>0</v>
      </c>
      <c r="J77" s="207">
        <f t="shared" ref="J77:J140" si="36">I77/H77*100</f>
        <v>0</v>
      </c>
      <c r="K77" s="46"/>
      <c r="L77" s="46"/>
      <c r="M77" s="295"/>
      <c r="N77" s="295"/>
      <c r="O77" s="295"/>
    </row>
    <row r="78" spans="1:15" ht="69" customHeight="1" x14ac:dyDescent="0.25">
      <c r="A78" s="276">
        <v>67</v>
      </c>
      <c r="B78" s="282" t="s">
        <v>567</v>
      </c>
      <c r="C78" s="281" t="s">
        <v>157</v>
      </c>
      <c r="D78" s="300" t="s">
        <v>415</v>
      </c>
      <c r="E78" s="281" t="s">
        <v>501</v>
      </c>
      <c r="F78" s="276"/>
      <c r="G78" s="27">
        <f t="shared" si="35"/>
        <v>3767515.12</v>
      </c>
      <c r="H78" s="27">
        <f t="shared" ref="H78:I78" si="37">H79</f>
        <v>3767515.12</v>
      </c>
      <c r="I78" s="27">
        <f t="shared" si="37"/>
        <v>0</v>
      </c>
      <c r="J78" s="207">
        <f t="shared" si="36"/>
        <v>0</v>
      </c>
      <c r="K78" s="46"/>
      <c r="L78" s="46"/>
      <c r="M78" s="295"/>
      <c r="N78" s="295"/>
      <c r="O78" s="295"/>
    </row>
    <row r="79" spans="1:15" ht="30" customHeight="1" x14ac:dyDescent="0.25">
      <c r="A79" s="276">
        <v>68</v>
      </c>
      <c r="B79" s="282" t="s">
        <v>17</v>
      </c>
      <c r="C79" s="281" t="s">
        <v>157</v>
      </c>
      <c r="D79" s="300" t="s">
        <v>415</v>
      </c>
      <c r="E79" s="281" t="s">
        <v>501</v>
      </c>
      <c r="F79" s="276">
        <v>500</v>
      </c>
      <c r="G79" s="27">
        <f t="shared" si="35"/>
        <v>3767515.12</v>
      </c>
      <c r="H79" s="27">
        <f t="shared" ref="H79:I79" si="38">H80</f>
        <v>3767515.12</v>
      </c>
      <c r="I79" s="27">
        <f t="shared" si="38"/>
        <v>0</v>
      </c>
      <c r="J79" s="207">
        <f t="shared" si="36"/>
        <v>0</v>
      </c>
      <c r="K79" s="46"/>
      <c r="L79" s="46"/>
      <c r="M79" s="295"/>
      <c r="N79" s="295"/>
      <c r="O79" s="295"/>
    </row>
    <row r="80" spans="1:15" x14ac:dyDescent="0.25">
      <c r="A80" s="276">
        <v>69</v>
      </c>
      <c r="B80" s="282" t="s">
        <v>515</v>
      </c>
      <c r="C80" s="281" t="s">
        <v>157</v>
      </c>
      <c r="D80" s="300" t="s">
        <v>415</v>
      </c>
      <c r="E80" s="281" t="s">
        <v>501</v>
      </c>
      <c r="F80" s="276">
        <v>540</v>
      </c>
      <c r="G80" s="27">
        <f>5000000-1232484.88</f>
        <v>3767515.12</v>
      </c>
      <c r="H80" s="27">
        <v>3767515.12</v>
      </c>
      <c r="I80" s="146">
        <v>0</v>
      </c>
      <c r="J80" s="207">
        <f t="shared" si="36"/>
        <v>0</v>
      </c>
      <c r="K80" s="46"/>
      <c r="L80" s="46"/>
      <c r="M80" s="295"/>
      <c r="N80" s="295"/>
      <c r="O80" s="295"/>
    </row>
    <row r="81" spans="1:15" x14ac:dyDescent="0.25">
      <c r="A81" s="276">
        <v>70</v>
      </c>
      <c r="B81" s="298" t="s">
        <v>112</v>
      </c>
      <c r="C81" s="281" t="s">
        <v>157</v>
      </c>
      <c r="D81" s="281" t="s">
        <v>113</v>
      </c>
      <c r="E81" s="281"/>
      <c r="F81" s="276"/>
      <c r="G81" s="27">
        <f t="shared" ref="G81:I85" si="39">G82</f>
        <v>100000</v>
      </c>
      <c r="H81" s="27">
        <f t="shared" si="39"/>
        <v>100000</v>
      </c>
      <c r="I81" s="27">
        <f t="shared" si="39"/>
        <v>99682.25</v>
      </c>
      <c r="J81" s="207">
        <f t="shared" si="36"/>
        <v>99.682249999999996</v>
      </c>
      <c r="K81" s="46"/>
      <c r="L81" s="46"/>
      <c r="M81" s="295"/>
      <c r="N81" s="295"/>
      <c r="O81" s="295"/>
    </row>
    <row r="82" spans="1:15" x14ac:dyDescent="0.25">
      <c r="A82" s="276">
        <v>71</v>
      </c>
      <c r="B82" s="282" t="s">
        <v>70</v>
      </c>
      <c r="C82" s="281" t="s">
        <v>157</v>
      </c>
      <c r="D82" s="281" t="s">
        <v>117</v>
      </c>
      <c r="E82" s="281"/>
      <c r="F82" s="276"/>
      <c r="G82" s="27">
        <f t="shared" si="39"/>
        <v>100000</v>
      </c>
      <c r="H82" s="27">
        <f t="shared" si="39"/>
        <v>100000</v>
      </c>
      <c r="I82" s="27">
        <f t="shared" si="39"/>
        <v>99682.25</v>
      </c>
      <c r="J82" s="207">
        <f t="shared" si="36"/>
        <v>99.682249999999996</v>
      </c>
      <c r="K82" s="46"/>
      <c r="L82" s="46"/>
      <c r="M82" s="295"/>
      <c r="N82" s="295"/>
      <c r="O82" s="295"/>
    </row>
    <row r="83" spans="1:15" x14ac:dyDescent="0.25">
      <c r="A83" s="276">
        <v>72</v>
      </c>
      <c r="B83" s="277" t="s">
        <v>71</v>
      </c>
      <c r="C83" s="281" t="s">
        <v>157</v>
      </c>
      <c r="D83" s="281" t="s">
        <v>117</v>
      </c>
      <c r="E83" s="281" t="s">
        <v>208</v>
      </c>
      <c r="F83" s="276"/>
      <c r="G83" s="27">
        <f t="shared" si="39"/>
        <v>100000</v>
      </c>
      <c r="H83" s="27">
        <f t="shared" si="39"/>
        <v>100000</v>
      </c>
      <c r="I83" s="27">
        <f t="shared" si="39"/>
        <v>99682.25</v>
      </c>
      <c r="J83" s="207">
        <f t="shared" si="36"/>
        <v>99.682249999999996</v>
      </c>
      <c r="K83" s="46"/>
      <c r="L83" s="46"/>
      <c r="M83" s="295"/>
      <c r="N83" s="295"/>
      <c r="O83" s="295"/>
    </row>
    <row r="84" spans="1:15" x14ac:dyDescent="0.25">
      <c r="A84" s="276">
        <v>73</v>
      </c>
      <c r="B84" s="277" t="s">
        <v>297</v>
      </c>
      <c r="C84" s="281" t="s">
        <v>157</v>
      </c>
      <c r="D84" s="281" t="s">
        <v>117</v>
      </c>
      <c r="E84" s="281" t="s">
        <v>239</v>
      </c>
      <c r="F84" s="276"/>
      <c r="G84" s="27">
        <f t="shared" si="39"/>
        <v>100000</v>
      </c>
      <c r="H84" s="27">
        <f t="shared" si="39"/>
        <v>100000</v>
      </c>
      <c r="I84" s="27">
        <f t="shared" si="39"/>
        <v>99682.25</v>
      </c>
      <c r="J84" s="207">
        <f t="shared" si="36"/>
        <v>99.682249999999996</v>
      </c>
      <c r="K84" s="46"/>
      <c r="L84" s="46"/>
      <c r="M84" s="295"/>
      <c r="N84" s="295"/>
      <c r="O84" s="295"/>
    </row>
    <row r="85" spans="1:15" x14ac:dyDescent="0.25">
      <c r="A85" s="276">
        <v>74</v>
      </c>
      <c r="B85" s="282" t="s">
        <v>426</v>
      </c>
      <c r="C85" s="281" t="s">
        <v>157</v>
      </c>
      <c r="D85" s="281" t="s">
        <v>117</v>
      </c>
      <c r="E85" s="281" t="s">
        <v>427</v>
      </c>
      <c r="F85" s="276"/>
      <c r="G85" s="27">
        <f t="shared" si="39"/>
        <v>100000</v>
      </c>
      <c r="H85" s="27">
        <f t="shared" si="39"/>
        <v>100000</v>
      </c>
      <c r="I85" s="27">
        <f t="shared" si="39"/>
        <v>99682.25</v>
      </c>
      <c r="J85" s="207">
        <f t="shared" si="36"/>
        <v>99.682249999999996</v>
      </c>
      <c r="K85" s="46"/>
      <c r="L85" s="46"/>
      <c r="M85" s="295"/>
      <c r="N85" s="295"/>
      <c r="O85" s="295"/>
    </row>
    <row r="86" spans="1:15" x14ac:dyDescent="0.25">
      <c r="A86" s="276">
        <v>75</v>
      </c>
      <c r="B86" s="282" t="s">
        <v>17</v>
      </c>
      <c r="C86" s="281" t="s">
        <v>157</v>
      </c>
      <c r="D86" s="281" t="s">
        <v>117</v>
      </c>
      <c r="E86" s="281" t="s">
        <v>427</v>
      </c>
      <c r="F86" s="276">
        <v>500</v>
      </c>
      <c r="G86" s="27">
        <f>G87</f>
        <v>100000</v>
      </c>
      <c r="H86" s="27">
        <f>H87</f>
        <v>100000</v>
      </c>
      <c r="I86" s="27">
        <f>I87</f>
        <v>99682.25</v>
      </c>
      <c r="J86" s="207">
        <f t="shared" si="36"/>
        <v>99.682249999999996</v>
      </c>
      <c r="K86" s="46"/>
      <c r="L86" s="46"/>
      <c r="M86" s="295"/>
      <c r="N86" s="295"/>
      <c r="O86" s="295"/>
    </row>
    <row r="87" spans="1:15" x14ac:dyDescent="0.25">
      <c r="A87" s="276">
        <v>76</v>
      </c>
      <c r="B87" s="282" t="s">
        <v>24</v>
      </c>
      <c r="C87" s="281" t="s">
        <v>157</v>
      </c>
      <c r="D87" s="281" t="s">
        <v>117</v>
      </c>
      <c r="E87" s="281" t="s">
        <v>427</v>
      </c>
      <c r="F87" s="276">
        <v>540</v>
      </c>
      <c r="G87" s="27">
        <v>100000</v>
      </c>
      <c r="H87" s="27">
        <v>100000</v>
      </c>
      <c r="I87" s="146">
        <v>99682.25</v>
      </c>
      <c r="J87" s="207">
        <f t="shared" si="36"/>
        <v>99.682249999999996</v>
      </c>
      <c r="K87" s="46"/>
      <c r="L87" s="46"/>
      <c r="M87" s="295"/>
      <c r="N87" s="295"/>
      <c r="O87" s="295"/>
    </row>
    <row r="88" spans="1:15" x14ac:dyDescent="0.25">
      <c r="A88" s="276">
        <v>77</v>
      </c>
      <c r="B88" s="282" t="s">
        <v>251</v>
      </c>
      <c r="C88" s="281" t="s">
        <v>157</v>
      </c>
      <c r="D88" s="281" t="s">
        <v>248</v>
      </c>
      <c r="E88" s="281"/>
      <c r="F88" s="276"/>
      <c r="G88" s="27">
        <f>G89</f>
        <v>49800</v>
      </c>
      <c r="H88" s="27">
        <f t="shared" ref="H88:I90" si="40">H89</f>
        <v>49800</v>
      </c>
      <c r="I88" s="27">
        <f t="shared" si="40"/>
        <v>49800</v>
      </c>
      <c r="J88" s="207">
        <f t="shared" si="36"/>
        <v>100</v>
      </c>
      <c r="K88" s="46"/>
      <c r="L88" s="46"/>
      <c r="M88" s="295"/>
      <c r="N88" s="295"/>
      <c r="O88" s="295"/>
    </row>
    <row r="89" spans="1:15" x14ac:dyDescent="0.25">
      <c r="A89" s="276">
        <v>78</v>
      </c>
      <c r="B89" s="282" t="s">
        <v>456</v>
      </c>
      <c r="C89" s="281" t="s">
        <v>157</v>
      </c>
      <c r="D89" s="281" t="s">
        <v>516</v>
      </c>
      <c r="E89" s="281"/>
      <c r="F89" s="276"/>
      <c r="G89" s="27">
        <f>G90</f>
        <v>49800</v>
      </c>
      <c r="H89" s="27">
        <f t="shared" si="40"/>
        <v>49800</v>
      </c>
      <c r="I89" s="27">
        <f t="shared" si="40"/>
        <v>49800</v>
      </c>
      <c r="J89" s="207">
        <f t="shared" si="36"/>
        <v>100</v>
      </c>
      <c r="K89" s="46"/>
      <c r="L89" s="46"/>
      <c r="M89" s="295"/>
      <c r="N89" s="295"/>
      <c r="O89" s="295"/>
    </row>
    <row r="90" spans="1:15" ht="30" x14ac:dyDescent="0.25">
      <c r="A90" s="276">
        <v>79</v>
      </c>
      <c r="B90" s="282" t="s">
        <v>249</v>
      </c>
      <c r="C90" s="281" t="s">
        <v>157</v>
      </c>
      <c r="D90" s="281" t="s">
        <v>516</v>
      </c>
      <c r="E90" s="281" t="s">
        <v>355</v>
      </c>
      <c r="F90" s="276"/>
      <c r="G90" s="27">
        <f>G91</f>
        <v>49800</v>
      </c>
      <c r="H90" s="27">
        <f t="shared" si="40"/>
        <v>49800</v>
      </c>
      <c r="I90" s="27">
        <f t="shared" si="40"/>
        <v>49800</v>
      </c>
      <c r="J90" s="207">
        <f t="shared" si="36"/>
        <v>100</v>
      </c>
      <c r="K90" s="46"/>
      <c r="L90" s="46"/>
      <c r="M90" s="295"/>
      <c r="N90" s="295"/>
      <c r="O90" s="295"/>
    </row>
    <row r="91" spans="1:15" ht="30" x14ac:dyDescent="0.25">
      <c r="A91" s="276">
        <v>80</v>
      </c>
      <c r="B91" s="282" t="s">
        <v>310</v>
      </c>
      <c r="C91" s="281" t="s">
        <v>157</v>
      </c>
      <c r="D91" s="281" t="s">
        <v>516</v>
      </c>
      <c r="E91" s="281" t="s">
        <v>349</v>
      </c>
      <c r="F91" s="276"/>
      <c r="G91" s="27">
        <f>G93</f>
        <v>49800</v>
      </c>
      <c r="H91" s="27">
        <f t="shared" ref="H91:I91" si="41">H93</f>
        <v>49800</v>
      </c>
      <c r="I91" s="27">
        <f t="shared" si="41"/>
        <v>49800</v>
      </c>
      <c r="J91" s="207">
        <f t="shared" si="36"/>
        <v>100</v>
      </c>
      <c r="K91" s="46"/>
      <c r="L91" s="46"/>
      <c r="M91" s="295"/>
      <c r="N91" s="295"/>
      <c r="O91" s="295"/>
    </row>
    <row r="92" spans="1:15" ht="60" x14ac:dyDescent="0.25">
      <c r="A92" s="276">
        <v>81</v>
      </c>
      <c r="B92" s="282" t="s">
        <v>539</v>
      </c>
      <c r="C92" s="281" t="s">
        <v>157</v>
      </c>
      <c r="D92" s="281" t="s">
        <v>516</v>
      </c>
      <c r="E92" s="281" t="s">
        <v>517</v>
      </c>
      <c r="F92" s="276"/>
      <c r="G92" s="27">
        <f>G93</f>
        <v>49800</v>
      </c>
      <c r="H92" s="27">
        <f t="shared" ref="H92:I93" si="42">H93</f>
        <v>49800</v>
      </c>
      <c r="I92" s="27">
        <f t="shared" si="42"/>
        <v>49800</v>
      </c>
      <c r="J92" s="207">
        <f t="shared" si="36"/>
        <v>100</v>
      </c>
      <c r="K92" s="46"/>
      <c r="L92" s="46"/>
      <c r="M92" s="295"/>
      <c r="N92" s="295"/>
      <c r="O92" s="295"/>
    </row>
    <row r="93" spans="1:15" x14ac:dyDescent="0.25">
      <c r="A93" s="276">
        <v>82</v>
      </c>
      <c r="B93" s="282" t="s">
        <v>514</v>
      </c>
      <c r="C93" s="281" t="s">
        <v>157</v>
      </c>
      <c r="D93" s="281" t="s">
        <v>516</v>
      </c>
      <c r="E93" s="281" t="s">
        <v>517</v>
      </c>
      <c r="F93" s="276">
        <v>500</v>
      </c>
      <c r="G93" s="27">
        <f>G94</f>
        <v>49800</v>
      </c>
      <c r="H93" s="27">
        <f t="shared" si="42"/>
        <v>49800</v>
      </c>
      <c r="I93" s="27">
        <f t="shared" si="42"/>
        <v>49800</v>
      </c>
      <c r="J93" s="207">
        <f t="shared" si="36"/>
        <v>100</v>
      </c>
      <c r="K93" s="46"/>
      <c r="L93" s="46"/>
      <c r="M93" s="295"/>
      <c r="N93" s="295"/>
      <c r="O93" s="295"/>
    </row>
    <row r="94" spans="1:15" x14ac:dyDescent="0.25">
      <c r="A94" s="276">
        <v>83</v>
      </c>
      <c r="B94" s="282" t="s">
        <v>515</v>
      </c>
      <c r="C94" s="281" t="s">
        <v>157</v>
      </c>
      <c r="D94" s="281" t="s">
        <v>516</v>
      </c>
      <c r="E94" s="281" t="s">
        <v>517</v>
      </c>
      <c r="F94" s="276">
        <v>540</v>
      </c>
      <c r="G94" s="27">
        <v>49800</v>
      </c>
      <c r="H94" s="27">
        <v>49800</v>
      </c>
      <c r="I94" s="146">
        <v>49800</v>
      </c>
      <c r="J94" s="207">
        <f t="shared" si="36"/>
        <v>100</v>
      </c>
      <c r="K94" s="46"/>
      <c r="L94" s="46"/>
      <c r="M94" s="295"/>
      <c r="N94" s="295"/>
      <c r="O94" s="295"/>
    </row>
    <row r="95" spans="1:15" x14ac:dyDescent="0.25">
      <c r="A95" s="276">
        <v>84</v>
      </c>
      <c r="B95" s="283" t="s">
        <v>400</v>
      </c>
      <c r="C95" s="281" t="s">
        <v>157</v>
      </c>
      <c r="D95" s="300" t="s">
        <v>401</v>
      </c>
      <c r="E95" s="281"/>
      <c r="F95" s="276"/>
      <c r="G95" s="27">
        <f t="shared" ref="G95:I99" si="43">G96</f>
        <v>18743.839999999997</v>
      </c>
      <c r="H95" s="27">
        <f t="shared" si="43"/>
        <v>18743.84</v>
      </c>
      <c r="I95" s="27">
        <f t="shared" si="43"/>
        <v>18743.84</v>
      </c>
      <c r="J95" s="207">
        <f t="shared" si="36"/>
        <v>100</v>
      </c>
      <c r="K95" s="46"/>
      <c r="L95" s="46"/>
      <c r="M95" s="295"/>
      <c r="N95" s="295"/>
      <c r="O95" s="295"/>
    </row>
    <row r="96" spans="1:15" x14ac:dyDescent="0.25">
      <c r="A96" s="276">
        <v>85</v>
      </c>
      <c r="B96" s="277" t="s">
        <v>22</v>
      </c>
      <c r="C96" s="281" t="s">
        <v>157</v>
      </c>
      <c r="D96" s="300" t="s">
        <v>401</v>
      </c>
      <c r="E96" s="281">
        <v>9200000000</v>
      </c>
      <c r="F96" s="276"/>
      <c r="G96" s="27">
        <f t="shared" si="43"/>
        <v>18743.839999999997</v>
      </c>
      <c r="H96" s="27">
        <f t="shared" si="43"/>
        <v>18743.84</v>
      </c>
      <c r="I96" s="27">
        <f t="shared" si="43"/>
        <v>18743.84</v>
      </c>
      <c r="J96" s="207">
        <f t="shared" si="36"/>
        <v>100</v>
      </c>
      <c r="K96" s="46"/>
      <c r="L96" s="46"/>
      <c r="M96" s="295"/>
      <c r="N96" s="295"/>
      <c r="O96" s="295"/>
    </row>
    <row r="97" spans="1:15" x14ac:dyDescent="0.25">
      <c r="A97" s="276">
        <v>86</v>
      </c>
      <c r="B97" s="277" t="s">
        <v>259</v>
      </c>
      <c r="C97" s="281" t="s">
        <v>157</v>
      </c>
      <c r="D97" s="300" t="s">
        <v>401</v>
      </c>
      <c r="E97" s="281">
        <v>9210000000</v>
      </c>
      <c r="F97" s="276"/>
      <c r="G97" s="27">
        <f t="shared" si="43"/>
        <v>18743.839999999997</v>
      </c>
      <c r="H97" s="27">
        <f t="shared" si="43"/>
        <v>18743.84</v>
      </c>
      <c r="I97" s="27">
        <f t="shared" si="43"/>
        <v>18743.84</v>
      </c>
      <c r="J97" s="207">
        <f t="shared" si="36"/>
        <v>100</v>
      </c>
      <c r="K97" s="46"/>
      <c r="L97" s="46"/>
      <c r="M97" s="295"/>
      <c r="N97" s="295"/>
      <c r="O97" s="295"/>
    </row>
    <row r="98" spans="1:15" x14ac:dyDescent="0.25">
      <c r="A98" s="276">
        <v>87</v>
      </c>
      <c r="B98" s="277" t="s">
        <v>402</v>
      </c>
      <c r="C98" s="281" t="s">
        <v>157</v>
      </c>
      <c r="D98" s="300" t="s">
        <v>401</v>
      </c>
      <c r="E98" s="281">
        <v>9210000910</v>
      </c>
      <c r="F98" s="276"/>
      <c r="G98" s="27">
        <f t="shared" si="43"/>
        <v>18743.839999999997</v>
      </c>
      <c r="H98" s="27">
        <f t="shared" si="43"/>
        <v>18743.84</v>
      </c>
      <c r="I98" s="27">
        <f t="shared" si="43"/>
        <v>18743.84</v>
      </c>
      <c r="J98" s="207">
        <f t="shared" si="36"/>
        <v>100</v>
      </c>
      <c r="K98" s="46"/>
      <c r="L98" s="46"/>
      <c r="M98" s="295"/>
      <c r="N98" s="295"/>
      <c r="O98" s="295"/>
    </row>
    <row r="99" spans="1:15" x14ac:dyDescent="0.25">
      <c r="A99" s="276">
        <v>88</v>
      </c>
      <c r="B99" s="277" t="s">
        <v>403</v>
      </c>
      <c r="C99" s="281" t="s">
        <v>157</v>
      </c>
      <c r="D99" s="300" t="s">
        <v>401</v>
      </c>
      <c r="E99" s="281">
        <v>9210000910</v>
      </c>
      <c r="F99" s="276">
        <v>700</v>
      </c>
      <c r="G99" s="27">
        <f t="shared" si="43"/>
        <v>18743.839999999997</v>
      </c>
      <c r="H99" s="27">
        <f t="shared" si="43"/>
        <v>18743.84</v>
      </c>
      <c r="I99" s="27">
        <f t="shared" si="43"/>
        <v>18743.84</v>
      </c>
      <c r="J99" s="207">
        <f t="shared" si="36"/>
        <v>100</v>
      </c>
      <c r="K99" s="46"/>
      <c r="L99" s="46"/>
      <c r="M99" s="295"/>
      <c r="N99" s="295"/>
      <c r="O99" s="295"/>
    </row>
    <row r="100" spans="1:15" x14ac:dyDescent="0.25">
      <c r="A100" s="276">
        <v>89</v>
      </c>
      <c r="B100" s="277" t="s">
        <v>404</v>
      </c>
      <c r="C100" s="281" t="s">
        <v>157</v>
      </c>
      <c r="D100" s="300" t="s">
        <v>401</v>
      </c>
      <c r="E100" s="281" t="s">
        <v>588</v>
      </c>
      <c r="F100" s="276">
        <v>730</v>
      </c>
      <c r="G100" s="27">
        <f>200000-181256.16</f>
        <v>18743.839999999997</v>
      </c>
      <c r="H100" s="27">
        <v>18743.84</v>
      </c>
      <c r="I100" s="146">
        <v>18743.84</v>
      </c>
      <c r="J100" s="207">
        <f t="shared" si="36"/>
        <v>100</v>
      </c>
      <c r="K100" s="46"/>
      <c r="L100" s="46"/>
      <c r="M100" s="295"/>
      <c r="N100" s="295"/>
      <c r="O100" s="295"/>
    </row>
    <row r="101" spans="1:15" ht="30" x14ac:dyDescent="0.25">
      <c r="A101" s="276">
        <v>90</v>
      </c>
      <c r="B101" s="301" t="s">
        <v>227</v>
      </c>
      <c r="C101" s="281" t="s">
        <v>157</v>
      </c>
      <c r="D101" s="281" t="s">
        <v>128</v>
      </c>
      <c r="E101" s="281"/>
      <c r="F101" s="276"/>
      <c r="G101" s="27">
        <f>G102+G111</f>
        <v>165042534.45000002</v>
      </c>
      <c r="H101" s="27">
        <f t="shared" ref="H101" si="44">H102+H111</f>
        <v>165042534.44999999</v>
      </c>
      <c r="I101" s="27">
        <f t="shared" ref="I101" si="45">I102+I111</f>
        <v>165042534.44999999</v>
      </c>
      <c r="J101" s="207">
        <f t="shared" si="36"/>
        <v>100</v>
      </c>
      <c r="M101" s="295"/>
      <c r="N101" s="295"/>
      <c r="O101" s="295"/>
    </row>
    <row r="102" spans="1:15" ht="30" x14ac:dyDescent="0.25">
      <c r="A102" s="276">
        <v>91</v>
      </c>
      <c r="B102" s="282" t="s">
        <v>25</v>
      </c>
      <c r="C102" s="281" t="s">
        <v>157</v>
      </c>
      <c r="D102" s="281" t="s">
        <v>129</v>
      </c>
      <c r="E102" s="281"/>
      <c r="F102" s="276"/>
      <c r="G102" s="27">
        <f t="shared" ref="G102:I103" si="46">G103</f>
        <v>34921997.68</v>
      </c>
      <c r="H102" s="27">
        <f t="shared" si="46"/>
        <v>34921997.68</v>
      </c>
      <c r="I102" s="27">
        <f t="shared" si="46"/>
        <v>34921997.68</v>
      </c>
      <c r="J102" s="207">
        <f t="shared" si="36"/>
        <v>100</v>
      </c>
      <c r="M102" s="295"/>
      <c r="N102" s="295"/>
      <c r="O102" s="295"/>
    </row>
    <row r="103" spans="1:15" x14ac:dyDescent="0.25">
      <c r="A103" s="276">
        <v>92</v>
      </c>
      <c r="B103" s="74" t="s">
        <v>315</v>
      </c>
      <c r="C103" s="281" t="s">
        <v>157</v>
      </c>
      <c r="D103" s="281" t="s">
        <v>129</v>
      </c>
      <c r="E103" s="281" t="s">
        <v>166</v>
      </c>
      <c r="F103" s="276"/>
      <c r="G103" s="27">
        <f t="shared" si="46"/>
        <v>34921997.68</v>
      </c>
      <c r="H103" s="27">
        <f t="shared" si="46"/>
        <v>34921997.68</v>
      </c>
      <c r="I103" s="27">
        <f t="shared" si="46"/>
        <v>34921997.68</v>
      </c>
      <c r="J103" s="207">
        <f t="shared" si="36"/>
        <v>100</v>
      </c>
      <c r="M103" s="295"/>
      <c r="N103" s="295"/>
      <c r="O103" s="295"/>
    </row>
    <row r="104" spans="1:15" ht="30" x14ac:dyDescent="0.25">
      <c r="A104" s="276">
        <v>93</v>
      </c>
      <c r="B104" s="74" t="s">
        <v>26</v>
      </c>
      <c r="C104" s="281" t="s">
        <v>157</v>
      </c>
      <c r="D104" s="281" t="s">
        <v>129</v>
      </c>
      <c r="E104" s="281" t="s">
        <v>172</v>
      </c>
      <c r="F104" s="276"/>
      <c r="G104" s="27">
        <f t="shared" ref="G104:H104" si="47">G105+G108</f>
        <v>34921997.68</v>
      </c>
      <c r="H104" s="27">
        <f t="shared" si="47"/>
        <v>34921997.68</v>
      </c>
      <c r="I104" s="27">
        <f t="shared" ref="I104" si="48">I105+I108</f>
        <v>34921997.68</v>
      </c>
      <c r="J104" s="207">
        <f t="shared" si="36"/>
        <v>100</v>
      </c>
      <c r="M104" s="295"/>
      <c r="N104" s="295"/>
      <c r="O104" s="295"/>
    </row>
    <row r="105" spans="1:15" ht="90" x14ac:dyDescent="0.25">
      <c r="A105" s="276">
        <v>94</v>
      </c>
      <c r="B105" s="74" t="s">
        <v>395</v>
      </c>
      <c r="C105" s="281" t="s">
        <v>157</v>
      </c>
      <c r="D105" s="281" t="s">
        <v>129</v>
      </c>
      <c r="E105" s="281" t="s">
        <v>173</v>
      </c>
      <c r="F105" s="276"/>
      <c r="G105" s="27">
        <f t="shared" ref="G105:I105" si="49">G106</f>
        <v>15291000</v>
      </c>
      <c r="H105" s="27">
        <f t="shared" si="49"/>
        <v>15291000</v>
      </c>
      <c r="I105" s="27">
        <f t="shared" si="49"/>
        <v>15291000</v>
      </c>
      <c r="J105" s="207">
        <f t="shared" si="36"/>
        <v>100</v>
      </c>
      <c r="M105" s="295"/>
      <c r="N105" s="295"/>
      <c r="O105" s="295"/>
    </row>
    <row r="106" spans="1:15" x14ac:dyDescent="0.25">
      <c r="A106" s="276">
        <v>95</v>
      </c>
      <c r="B106" s="282" t="s">
        <v>17</v>
      </c>
      <c r="C106" s="281" t="s">
        <v>157</v>
      </c>
      <c r="D106" s="281" t="s">
        <v>129</v>
      </c>
      <c r="E106" s="281" t="s">
        <v>173</v>
      </c>
      <c r="F106" s="276">
        <v>500</v>
      </c>
      <c r="G106" s="27">
        <f t="shared" ref="G106:I106" si="50">G107</f>
        <v>15291000</v>
      </c>
      <c r="H106" s="27">
        <f t="shared" si="50"/>
        <v>15291000</v>
      </c>
      <c r="I106" s="27">
        <f t="shared" si="50"/>
        <v>15291000</v>
      </c>
      <c r="J106" s="207">
        <f t="shared" si="36"/>
        <v>100</v>
      </c>
      <c r="M106" s="295"/>
      <c r="N106" s="295"/>
      <c r="O106" s="295"/>
    </row>
    <row r="107" spans="1:15" x14ac:dyDescent="0.25">
      <c r="A107" s="276">
        <v>96</v>
      </c>
      <c r="B107" s="282" t="s">
        <v>27</v>
      </c>
      <c r="C107" s="281" t="s">
        <v>157</v>
      </c>
      <c r="D107" s="281" t="s">
        <v>129</v>
      </c>
      <c r="E107" s="281" t="s">
        <v>173</v>
      </c>
      <c r="F107" s="276">
        <v>510</v>
      </c>
      <c r="G107" s="27">
        <v>15291000</v>
      </c>
      <c r="H107" s="27">
        <v>15291000</v>
      </c>
      <c r="I107" s="146">
        <v>15291000</v>
      </c>
      <c r="J107" s="207">
        <f t="shared" si="36"/>
        <v>100</v>
      </c>
      <c r="M107" s="148"/>
      <c r="N107" s="148"/>
      <c r="O107" s="295"/>
    </row>
    <row r="108" spans="1:15" ht="75" x14ac:dyDescent="0.25">
      <c r="A108" s="276">
        <v>97</v>
      </c>
      <c r="B108" s="74" t="s">
        <v>366</v>
      </c>
      <c r="C108" s="281" t="s">
        <v>157</v>
      </c>
      <c r="D108" s="281" t="s">
        <v>129</v>
      </c>
      <c r="E108" s="281" t="s">
        <v>174</v>
      </c>
      <c r="F108" s="276"/>
      <c r="G108" s="27">
        <f t="shared" ref="G108:I109" si="51">G109</f>
        <v>19630997.68</v>
      </c>
      <c r="H108" s="27">
        <f t="shared" si="51"/>
        <v>19630997.68</v>
      </c>
      <c r="I108" s="27">
        <f t="shared" si="51"/>
        <v>19630997.68</v>
      </c>
      <c r="J108" s="207">
        <f t="shared" si="36"/>
        <v>100</v>
      </c>
      <c r="M108" s="295"/>
      <c r="N108" s="295"/>
      <c r="O108" s="295"/>
    </row>
    <row r="109" spans="1:15" x14ac:dyDescent="0.25">
      <c r="A109" s="276">
        <v>98</v>
      </c>
      <c r="B109" s="282" t="s">
        <v>17</v>
      </c>
      <c r="C109" s="281" t="s">
        <v>157</v>
      </c>
      <c r="D109" s="281" t="s">
        <v>129</v>
      </c>
      <c r="E109" s="281" t="s">
        <v>174</v>
      </c>
      <c r="F109" s="276">
        <v>500</v>
      </c>
      <c r="G109" s="27">
        <f t="shared" si="51"/>
        <v>19630997.68</v>
      </c>
      <c r="H109" s="27">
        <f t="shared" si="51"/>
        <v>19630997.68</v>
      </c>
      <c r="I109" s="27">
        <f t="shared" si="51"/>
        <v>19630997.68</v>
      </c>
      <c r="J109" s="207">
        <f t="shared" si="36"/>
        <v>100</v>
      </c>
      <c r="M109" s="295"/>
      <c r="N109" s="295"/>
      <c r="O109" s="295"/>
    </row>
    <row r="110" spans="1:15" x14ac:dyDescent="0.25">
      <c r="A110" s="276">
        <v>99</v>
      </c>
      <c r="B110" s="282" t="s">
        <v>27</v>
      </c>
      <c r="C110" s="281" t="s">
        <v>157</v>
      </c>
      <c r="D110" s="281" t="s">
        <v>129</v>
      </c>
      <c r="E110" s="281" t="s">
        <v>174</v>
      </c>
      <c r="F110" s="276">
        <v>510</v>
      </c>
      <c r="G110" s="27">
        <f>19630997.68</f>
        <v>19630997.68</v>
      </c>
      <c r="H110" s="27">
        <v>19630997.68</v>
      </c>
      <c r="I110" s="146">
        <v>19630997.68</v>
      </c>
      <c r="J110" s="207">
        <f t="shared" si="36"/>
        <v>100</v>
      </c>
      <c r="M110" s="295"/>
      <c r="N110" s="295"/>
      <c r="O110" s="295"/>
    </row>
    <row r="111" spans="1:15" x14ac:dyDescent="0.25">
      <c r="A111" s="276">
        <v>100</v>
      </c>
      <c r="B111" s="298" t="s">
        <v>228</v>
      </c>
      <c r="C111" s="281" t="s">
        <v>157</v>
      </c>
      <c r="D111" s="281" t="s">
        <v>130</v>
      </c>
      <c r="E111" s="281"/>
      <c r="F111" s="276"/>
      <c r="G111" s="27">
        <f>G112+G117</f>
        <v>130120536.77000001</v>
      </c>
      <c r="H111" s="27">
        <f t="shared" ref="H111:I111" si="52">H112+H117</f>
        <v>130120536.77</v>
      </c>
      <c r="I111" s="27">
        <f t="shared" si="52"/>
        <v>130120536.77</v>
      </c>
      <c r="J111" s="207">
        <f t="shared" si="36"/>
        <v>100</v>
      </c>
      <c r="M111" s="295"/>
      <c r="N111" s="295"/>
      <c r="O111" s="295"/>
    </row>
    <row r="112" spans="1:15" x14ac:dyDescent="0.25">
      <c r="A112" s="276">
        <v>101</v>
      </c>
      <c r="B112" s="74" t="s">
        <v>315</v>
      </c>
      <c r="C112" s="281" t="s">
        <v>157</v>
      </c>
      <c r="D112" s="281" t="s">
        <v>130</v>
      </c>
      <c r="E112" s="281" t="s">
        <v>166</v>
      </c>
      <c r="F112" s="276"/>
      <c r="G112" s="27">
        <f t="shared" ref="G112:I112" si="53">G113</f>
        <v>125737175.77000001</v>
      </c>
      <c r="H112" s="27">
        <f t="shared" si="53"/>
        <v>125737175.77</v>
      </c>
      <c r="I112" s="27">
        <f t="shared" si="53"/>
        <v>125737175.77</v>
      </c>
      <c r="J112" s="207">
        <f t="shared" si="36"/>
        <v>100</v>
      </c>
      <c r="M112" s="295"/>
      <c r="N112" s="295"/>
      <c r="O112" s="295"/>
    </row>
    <row r="113" spans="1:15" ht="30" x14ac:dyDescent="0.25">
      <c r="A113" s="276">
        <v>102</v>
      </c>
      <c r="B113" s="74" t="s">
        <v>26</v>
      </c>
      <c r="C113" s="281" t="s">
        <v>157</v>
      </c>
      <c r="D113" s="281" t="s">
        <v>130</v>
      </c>
      <c r="E113" s="281" t="s">
        <v>172</v>
      </c>
      <c r="F113" s="276"/>
      <c r="G113" s="27">
        <f t="shared" ref="G113" si="54">G114</f>
        <v>125737175.77000001</v>
      </c>
      <c r="H113" s="27">
        <f>H114</f>
        <v>125737175.77</v>
      </c>
      <c r="I113" s="27">
        <f>I114</f>
        <v>125737175.77</v>
      </c>
      <c r="J113" s="207">
        <f t="shared" si="36"/>
        <v>100</v>
      </c>
      <c r="M113" s="295"/>
      <c r="N113" s="295"/>
      <c r="O113" s="295"/>
    </row>
    <row r="114" spans="1:15" ht="75" x14ac:dyDescent="0.25">
      <c r="A114" s="276">
        <v>103</v>
      </c>
      <c r="B114" s="74" t="s">
        <v>396</v>
      </c>
      <c r="C114" s="281" t="s">
        <v>157</v>
      </c>
      <c r="D114" s="281" t="s">
        <v>130</v>
      </c>
      <c r="E114" s="281" t="s">
        <v>175</v>
      </c>
      <c r="F114" s="276"/>
      <c r="G114" s="27">
        <f t="shared" ref="G114" si="55">G115</f>
        <v>125737175.77000001</v>
      </c>
      <c r="H114" s="27">
        <f>H115</f>
        <v>125737175.77</v>
      </c>
      <c r="I114" s="27">
        <f>I115</f>
        <v>125737175.77</v>
      </c>
      <c r="J114" s="207">
        <f t="shared" si="36"/>
        <v>100</v>
      </c>
      <c r="M114" s="295"/>
      <c r="N114" s="295"/>
      <c r="O114" s="295"/>
    </row>
    <row r="115" spans="1:15" x14ac:dyDescent="0.25">
      <c r="A115" s="276">
        <v>104</v>
      </c>
      <c r="B115" s="282" t="s">
        <v>17</v>
      </c>
      <c r="C115" s="281" t="s">
        <v>157</v>
      </c>
      <c r="D115" s="281" t="s">
        <v>130</v>
      </c>
      <c r="E115" s="281" t="s">
        <v>175</v>
      </c>
      <c r="F115" s="276">
        <v>500</v>
      </c>
      <c r="G115" s="27">
        <f t="shared" ref="G115:I115" si="56">G116</f>
        <v>125737175.77000001</v>
      </c>
      <c r="H115" s="27">
        <f t="shared" si="56"/>
        <v>125737175.77</v>
      </c>
      <c r="I115" s="27">
        <f t="shared" si="56"/>
        <v>125737175.77</v>
      </c>
      <c r="J115" s="207">
        <f t="shared" si="36"/>
        <v>100</v>
      </c>
      <c r="M115" s="295"/>
      <c r="N115" s="295"/>
      <c r="O115" s="295"/>
    </row>
    <row r="116" spans="1:15" x14ac:dyDescent="0.25">
      <c r="A116" s="276">
        <v>105</v>
      </c>
      <c r="B116" s="282" t="s">
        <v>24</v>
      </c>
      <c r="C116" s="281" t="s">
        <v>157</v>
      </c>
      <c r="D116" s="281" t="s">
        <v>130</v>
      </c>
      <c r="E116" s="281" t="s">
        <v>175</v>
      </c>
      <c r="F116" s="276">
        <v>540</v>
      </c>
      <c r="G116" s="27">
        <f>104965892.34+7437526+236800+4734000-200000+1161375.66+3800995.68+3230479.34-0.01+168000+202106.76</f>
        <v>125737175.77000001</v>
      </c>
      <c r="H116" s="27">
        <v>125737175.77</v>
      </c>
      <c r="I116" s="27">
        <v>125737175.77</v>
      </c>
      <c r="J116" s="207">
        <f t="shared" si="36"/>
        <v>100</v>
      </c>
      <c r="M116" s="295"/>
      <c r="N116" s="295"/>
      <c r="O116" s="295"/>
    </row>
    <row r="117" spans="1:15" x14ac:dyDescent="0.25">
      <c r="A117" s="276">
        <v>106</v>
      </c>
      <c r="B117" s="282" t="s">
        <v>281</v>
      </c>
      <c r="C117" s="281" t="s">
        <v>157</v>
      </c>
      <c r="D117" s="281" t="s">
        <v>130</v>
      </c>
      <c r="E117" s="281" t="s">
        <v>176</v>
      </c>
      <c r="F117" s="276"/>
      <c r="G117" s="27">
        <f>G118+G122</f>
        <v>4383361</v>
      </c>
      <c r="H117" s="27">
        <f t="shared" ref="H117:I117" si="57">H118+H122</f>
        <v>4383361</v>
      </c>
      <c r="I117" s="27">
        <f t="shared" si="57"/>
        <v>4383361</v>
      </c>
      <c r="J117" s="207">
        <f t="shared" si="36"/>
        <v>100</v>
      </c>
      <c r="M117" s="295"/>
      <c r="N117" s="295"/>
      <c r="O117" s="295"/>
    </row>
    <row r="118" spans="1:15" ht="29.25" customHeight="1" x14ac:dyDescent="0.25">
      <c r="A118" s="276">
        <v>107</v>
      </c>
      <c r="B118" s="282" t="s">
        <v>378</v>
      </c>
      <c r="C118" s="281" t="s">
        <v>157</v>
      </c>
      <c r="D118" s="281" t="s">
        <v>130</v>
      </c>
      <c r="E118" s="281" t="s">
        <v>177</v>
      </c>
      <c r="F118" s="276"/>
      <c r="G118" s="27">
        <f>G119</f>
        <v>87100</v>
      </c>
      <c r="H118" s="27">
        <f t="shared" ref="H118:I118" si="58">H119</f>
        <v>87100</v>
      </c>
      <c r="I118" s="27">
        <f t="shared" si="58"/>
        <v>87100</v>
      </c>
      <c r="J118" s="207">
        <f t="shared" si="36"/>
        <v>100</v>
      </c>
      <c r="M118" s="295"/>
      <c r="N118" s="295"/>
      <c r="O118" s="295"/>
    </row>
    <row r="119" spans="1:15" ht="51" customHeight="1" x14ac:dyDescent="0.25">
      <c r="A119" s="276">
        <v>108</v>
      </c>
      <c r="B119" s="282" t="s">
        <v>572</v>
      </c>
      <c r="C119" s="281" t="s">
        <v>157</v>
      </c>
      <c r="D119" s="281" t="s">
        <v>130</v>
      </c>
      <c r="E119" s="281" t="s">
        <v>573</v>
      </c>
      <c r="F119" s="276"/>
      <c r="G119" s="27">
        <f>G120</f>
        <v>87100</v>
      </c>
      <c r="H119" s="27">
        <f t="shared" ref="H119:I119" si="59">H120</f>
        <v>87100</v>
      </c>
      <c r="I119" s="27">
        <f t="shared" si="59"/>
        <v>87100</v>
      </c>
      <c r="J119" s="207">
        <f t="shared" si="36"/>
        <v>100</v>
      </c>
      <c r="M119" s="295"/>
      <c r="N119" s="295"/>
      <c r="O119" s="295"/>
    </row>
    <row r="120" spans="1:15" ht="27.75" customHeight="1" x14ac:dyDescent="0.25">
      <c r="A120" s="276">
        <v>109</v>
      </c>
      <c r="B120" s="282" t="s">
        <v>17</v>
      </c>
      <c r="C120" s="281" t="s">
        <v>157</v>
      </c>
      <c r="D120" s="281" t="s">
        <v>130</v>
      </c>
      <c r="E120" s="281" t="s">
        <v>573</v>
      </c>
      <c r="F120" s="276">
        <v>500</v>
      </c>
      <c r="G120" s="27">
        <f>G121</f>
        <v>87100</v>
      </c>
      <c r="H120" s="27">
        <f t="shared" ref="H120:I120" si="60">H121</f>
        <v>87100</v>
      </c>
      <c r="I120" s="27">
        <f t="shared" si="60"/>
        <v>87100</v>
      </c>
      <c r="J120" s="207">
        <f t="shared" si="36"/>
        <v>100</v>
      </c>
      <c r="M120" s="295"/>
      <c r="N120" s="295"/>
      <c r="O120" s="295"/>
    </row>
    <row r="121" spans="1:15" ht="19.5" customHeight="1" x14ac:dyDescent="0.25">
      <c r="A121" s="276">
        <v>110</v>
      </c>
      <c r="B121" s="282" t="s">
        <v>24</v>
      </c>
      <c r="C121" s="281" t="s">
        <v>157</v>
      </c>
      <c r="D121" s="281" t="s">
        <v>130</v>
      </c>
      <c r="E121" s="281" t="s">
        <v>573</v>
      </c>
      <c r="F121" s="276">
        <v>540</v>
      </c>
      <c r="G121" s="27">
        <v>87100</v>
      </c>
      <c r="H121" s="27">
        <v>87100</v>
      </c>
      <c r="I121" s="27">
        <v>87100</v>
      </c>
      <c r="J121" s="207">
        <f t="shared" si="36"/>
        <v>100</v>
      </c>
      <c r="M121" s="295"/>
      <c r="N121" s="295"/>
      <c r="O121" s="295"/>
    </row>
    <row r="122" spans="1:15" ht="30" x14ac:dyDescent="0.25">
      <c r="A122" s="276">
        <v>111</v>
      </c>
      <c r="B122" s="282" t="s">
        <v>378</v>
      </c>
      <c r="C122" s="281" t="s">
        <v>157</v>
      </c>
      <c r="D122" s="281" t="s">
        <v>130</v>
      </c>
      <c r="E122" s="281" t="s">
        <v>191</v>
      </c>
      <c r="F122" s="276"/>
      <c r="G122" s="27">
        <f>G123</f>
        <v>4296261</v>
      </c>
      <c r="H122" s="27">
        <f t="shared" ref="H122:I123" si="61">H123</f>
        <v>4296261</v>
      </c>
      <c r="I122" s="27">
        <f t="shared" si="61"/>
        <v>4296261</v>
      </c>
      <c r="J122" s="207">
        <f t="shared" si="36"/>
        <v>100</v>
      </c>
      <c r="M122" s="295"/>
      <c r="N122" s="295"/>
      <c r="O122" s="295"/>
    </row>
    <row r="123" spans="1:15" x14ac:dyDescent="0.25">
      <c r="A123" s="276">
        <v>112</v>
      </c>
      <c r="B123" s="282" t="s">
        <v>287</v>
      </c>
      <c r="C123" s="281" t="s">
        <v>157</v>
      </c>
      <c r="D123" s="281" t="s">
        <v>130</v>
      </c>
      <c r="E123" s="281" t="s">
        <v>191</v>
      </c>
      <c r="F123" s="276"/>
      <c r="G123" s="27">
        <f>G124</f>
        <v>4296261</v>
      </c>
      <c r="H123" s="27">
        <f t="shared" si="61"/>
        <v>4296261</v>
      </c>
      <c r="I123" s="27">
        <f t="shared" si="61"/>
        <v>4296261</v>
      </c>
      <c r="J123" s="207">
        <f t="shared" si="36"/>
        <v>100</v>
      </c>
      <c r="M123" s="295"/>
      <c r="N123" s="295"/>
      <c r="O123" s="295"/>
    </row>
    <row r="124" spans="1:15" ht="45" x14ac:dyDescent="0.25">
      <c r="A124" s="276">
        <v>113</v>
      </c>
      <c r="B124" s="282" t="s">
        <v>518</v>
      </c>
      <c r="C124" s="281" t="s">
        <v>157</v>
      </c>
      <c r="D124" s="281" t="s">
        <v>130</v>
      </c>
      <c r="E124" s="281" t="s">
        <v>519</v>
      </c>
      <c r="F124" s="276"/>
      <c r="G124" s="27">
        <f>G125</f>
        <v>4296261</v>
      </c>
      <c r="H124" s="27">
        <f>H125</f>
        <v>4296261</v>
      </c>
      <c r="I124" s="27">
        <f>I125</f>
        <v>4296261</v>
      </c>
      <c r="J124" s="207">
        <f t="shared" si="36"/>
        <v>100</v>
      </c>
      <c r="M124" s="295"/>
      <c r="N124" s="295"/>
      <c r="O124" s="295"/>
    </row>
    <row r="125" spans="1:15" x14ac:dyDescent="0.25">
      <c r="A125" s="276">
        <v>114</v>
      </c>
      <c r="B125" s="282" t="s">
        <v>514</v>
      </c>
      <c r="C125" s="281" t="s">
        <v>157</v>
      </c>
      <c r="D125" s="281" t="s">
        <v>130</v>
      </c>
      <c r="E125" s="281" t="s">
        <v>519</v>
      </c>
      <c r="F125" s="276">
        <v>500</v>
      </c>
      <c r="G125" s="27">
        <f>G126</f>
        <v>4296261</v>
      </c>
      <c r="H125" s="27">
        <f>H126</f>
        <v>4296261</v>
      </c>
      <c r="I125" s="27">
        <f>I126</f>
        <v>4296261</v>
      </c>
      <c r="J125" s="207">
        <f t="shared" si="36"/>
        <v>100</v>
      </c>
      <c r="M125" s="295"/>
      <c r="N125" s="295"/>
      <c r="O125" s="295"/>
    </row>
    <row r="126" spans="1:15" x14ac:dyDescent="0.25">
      <c r="A126" s="276">
        <v>115</v>
      </c>
      <c r="B126" s="282" t="s">
        <v>515</v>
      </c>
      <c r="C126" s="281" t="s">
        <v>157</v>
      </c>
      <c r="D126" s="281" t="s">
        <v>130</v>
      </c>
      <c r="E126" s="281" t="s">
        <v>519</v>
      </c>
      <c r="F126" s="276">
        <v>540</v>
      </c>
      <c r="G126" s="27">
        <v>4296261</v>
      </c>
      <c r="H126" s="27">
        <v>4296261</v>
      </c>
      <c r="I126" s="27">
        <v>4296261</v>
      </c>
      <c r="J126" s="207">
        <f t="shared" si="36"/>
        <v>100</v>
      </c>
      <c r="M126" s="295"/>
      <c r="N126" s="295"/>
      <c r="O126" s="295"/>
    </row>
    <row r="127" spans="1:15" ht="24.75" customHeight="1" x14ac:dyDescent="0.25">
      <c r="A127" s="276">
        <v>116</v>
      </c>
      <c r="B127" s="302" t="s">
        <v>229</v>
      </c>
      <c r="C127" s="42" t="s">
        <v>151</v>
      </c>
      <c r="D127" s="41"/>
      <c r="E127" s="42"/>
      <c r="F127" s="41"/>
      <c r="G127" s="44">
        <f>G128+G216+G269+G300+G309+G287+G196</f>
        <v>196560721.27000001</v>
      </c>
      <c r="H127" s="44">
        <f>H128+H216+H269+H300+H309+H287+H196</f>
        <v>196560721.27000001</v>
      </c>
      <c r="I127" s="44">
        <f>I128+I216+I269+I300+I309+I287+I196</f>
        <v>180578657.13000003</v>
      </c>
      <c r="J127" s="207">
        <f t="shared" si="36"/>
        <v>91.869146573772142</v>
      </c>
      <c r="M127" s="295"/>
      <c r="N127" s="295"/>
      <c r="O127" s="295"/>
    </row>
    <row r="128" spans="1:15" x14ac:dyDescent="0.25">
      <c r="A128" s="276">
        <v>117</v>
      </c>
      <c r="B128" s="298" t="s">
        <v>84</v>
      </c>
      <c r="C128" s="281" t="s">
        <v>151</v>
      </c>
      <c r="D128" s="281" t="s">
        <v>85</v>
      </c>
      <c r="E128" s="281"/>
      <c r="F128" s="276"/>
      <c r="G128" s="27">
        <f>G129+G135+G148+G154+G160</f>
        <v>63346349.400000006</v>
      </c>
      <c r="H128" s="27">
        <f>H129+H135+H148+H154+H160</f>
        <v>63171349.400000006</v>
      </c>
      <c r="I128" s="27">
        <f>I129+I135+I148+I154+I160</f>
        <v>56280118.370000005</v>
      </c>
      <c r="J128" s="207">
        <f t="shared" si="36"/>
        <v>89.091208126068622</v>
      </c>
      <c r="M128" s="295"/>
      <c r="N128" s="295"/>
      <c r="O128" s="295"/>
    </row>
    <row r="129" spans="1:15" ht="30" x14ac:dyDescent="0.25">
      <c r="A129" s="276">
        <v>118</v>
      </c>
      <c r="B129" s="282" t="s">
        <v>86</v>
      </c>
      <c r="C129" s="281" t="s">
        <v>151</v>
      </c>
      <c r="D129" s="281" t="s">
        <v>87</v>
      </c>
      <c r="E129" s="281"/>
      <c r="F129" s="276"/>
      <c r="G129" s="27">
        <f t="shared" ref="G129:I133" si="62">G130</f>
        <v>1959083.1999999997</v>
      </c>
      <c r="H129" s="27">
        <f t="shared" si="62"/>
        <v>1959083.2</v>
      </c>
      <c r="I129" s="27">
        <f t="shared" si="62"/>
        <v>1934440.59</v>
      </c>
      <c r="J129" s="207">
        <f t="shared" si="36"/>
        <v>98.742135607104387</v>
      </c>
      <c r="M129" s="295"/>
      <c r="N129" s="295"/>
      <c r="O129" s="295"/>
    </row>
    <row r="130" spans="1:15" x14ac:dyDescent="0.25">
      <c r="A130" s="276">
        <v>119</v>
      </c>
      <c r="B130" s="283" t="s">
        <v>253</v>
      </c>
      <c r="C130" s="281" t="s">
        <v>151</v>
      </c>
      <c r="D130" s="281" t="s">
        <v>87</v>
      </c>
      <c r="E130" s="281">
        <v>8500000000</v>
      </c>
      <c r="F130" s="276"/>
      <c r="G130" s="27">
        <f t="shared" si="62"/>
        <v>1959083.1999999997</v>
      </c>
      <c r="H130" s="27">
        <f t="shared" si="62"/>
        <v>1959083.2</v>
      </c>
      <c r="I130" s="27">
        <f t="shared" si="62"/>
        <v>1934440.59</v>
      </c>
      <c r="J130" s="207">
        <f t="shared" si="36"/>
        <v>98.742135607104387</v>
      </c>
      <c r="M130" s="295"/>
      <c r="N130" s="295"/>
      <c r="O130" s="295"/>
    </row>
    <row r="131" spans="1:15" x14ac:dyDescent="0.25">
      <c r="A131" s="276">
        <v>120</v>
      </c>
      <c r="B131" s="283" t="s">
        <v>254</v>
      </c>
      <c r="C131" s="281" t="s">
        <v>151</v>
      </c>
      <c r="D131" s="281" t="s">
        <v>87</v>
      </c>
      <c r="E131" s="281">
        <v>8510000000</v>
      </c>
      <c r="F131" s="276"/>
      <c r="G131" s="27">
        <f t="shared" si="62"/>
        <v>1959083.1999999997</v>
      </c>
      <c r="H131" s="27">
        <f t="shared" si="62"/>
        <v>1959083.2</v>
      </c>
      <c r="I131" s="27">
        <f t="shared" si="62"/>
        <v>1934440.59</v>
      </c>
      <c r="J131" s="207">
        <f t="shared" si="36"/>
        <v>98.742135607104387</v>
      </c>
      <c r="M131" s="295"/>
      <c r="N131" s="295"/>
      <c r="O131" s="295"/>
    </row>
    <row r="132" spans="1:15" ht="30" x14ac:dyDescent="0.25">
      <c r="A132" s="276">
        <v>121</v>
      </c>
      <c r="B132" s="277" t="s">
        <v>255</v>
      </c>
      <c r="C132" s="281" t="s">
        <v>151</v>
      </c>
      <c r="D132" s="281" t="s">
        <v>87</v>
      </c>
      <c r="E132" s="281">
        <v>8510000210</v>
      </c>
      <c r="F132" s="276"/>
      <c r="G132" s="27">
        <f t="shared" si="62"/>
        <v>1959083.1999999997</v>
      </c>
      <c r="H132" s="27">
        <f t="shared" si="62"/>
        <v>1959083.2</v>
      </c>
      <c r="I132" s="27">
        <f t="shared" si="62"/>
        <v>1934440.59</v>
      </c>
      <c r="J132" s="207">
        <f t="shared" si="36"/>
        <v>98.742135607104387</v>
      </c>
      <c r="M132" s="295"/>
      <c r="N132" s="295"/>
      <c r="O132" s="295"/>
    </row>
    <row r="133" spans="1:15" ht="45" x14ac:dyDescent="0.25">
      <c r="A133" s="276">
        <v>122</v>
      </c>
      <c r="B133" s="277" t="s">
        <v>144</v>
      </c>
      <c r="C133" s="281" t="s">
        <v>151</v>
      </c>
      <c r="D133" s="281" t="s">
        <v>87</v>
      </c>
      <c r="E133" s="281">
        <v>8510000210</v>
      </c>
      <c r="F133" s="276">
        <v>100</v>
      </c>
      <c r="G133" s="27">
        <f t="shared" si="62"/>
        <v>1959083.1999999997</v>
      </c>
      <c r="H133" s="27">
        <f t="shared" si="62"/>
        <v>1959083.2</v>
      </c>
      <c r="I133" s="27">
        <f t="shared" si="62"/>
        <v>1934440.59</v>
      </c>
      <c r="J133" s="207">
        <f t="shared" si="36"/>
        <v>98.742135607104387</v>
      </c>
      <c r="M133" s="295"/>
      <c r="N133" s="295"/>
      <c r="O133" s="295"/>
    </row>
    <row r="134" spans="1:15" x14ac:dyDescent="0.25">
      <c r="A134" s="276">
        <v>123</v>
      </c>
      <c r="B134" s="284" t="s">
        <v>15</v>
      </c>
      <c r="C134" s="281" t="s">
        <v>151</v>
      </c>
      <c r="D134" s="281" t="s">
        <v>87</v>
      </c>
      <c r="E134" s="281">
        <v>8510000210</v>
      </c>
      <c r="F134" s="276">
        <v>120</v>
      </c>
      <c r="G134" s="27">
        <f>2464199.78+63277.2-457486.1-50402-81598.08+21092.4</f>
        <v>1959083.1999999997</v>
      </c>
      <c r="H134" s="27">
        <v>1959083.2</v>
      </c>
      <c r="I134" s="146">
        <v>1934440.59</v>
      </c>
      <c r="J134" s="207">
        <f t="shared" si="36"/>
        <v>98.742135607104387</v>
      </c>
      <c r="M134" s="295"/>
      <c r="N134" s="295"/>
      <c r="O134" s="295"/>
    </row>
    <row r="135" spans="1:15" ht="30" x14ac:dyDescent="0.25">
      <c r="A135" s="276">
        <v>124</v>
      </c>
      <c r="B135" s="282" t="s">
        <v>16</v>
      </c>
      <c r="C135" s="281" t="s">
        <v>151</v>
      </c>
      <c r="D135" s="281" t="s">
        <v>90</v>
      </c>
      <c r="E135" s="281"/>
      <c r="F135" s="276"/>
      <c r="G135" s="27">
        <f t="shared" ref="G135:I136" si="63">G136</f>
        <v>49637596.710000001</v>
      </c>
      <c r="H135" s="27">
        <f t="shared" si="63"/>
        <v>49637596.710000001</v>
      </c>
      <c r="I135" s="27">
        <f t="shared" si="63"/>
        <v>46494233.050000004</v>
      </c>
      <c r="J135" s="207">
        <f t="shared" si="36"/>
        <v>93.667373385612095</v>
      </c>
      <c r="M135" s="295"/>
      <c r="N135" s="295"/>
      <c r="O135" s="295"/>
    </row>
    <row r="136" spans="1:15" x14ac:dyDescent="0.25">
      <c r="A136" s="276">
        <v>125</v>
      </c>
      <c r="B136" s="283" t="s">
        <v>253</v>
      </c>
      <c r="C136" s="281" t="s">
        <v>151</v>
      </c>
      <c r="D136" s="281" t="s">
        <v>90</v>
      </c>
      <c r="E136" s="281" t="s">
        <v>256</v>
      </c>
      <c r="F136" s="276"/>
      <c r="G136" s="27">
        <f t="shared" si="63"/>
        <v>49637596.710000001</v>
      </c>
      <c r="H136" s="27">
        <f t="shared" si="63"/>
        <v>49637596.710000001</v>
      </c>
      <c r="I136" s="27">
        <f t="shared" si="63"/>
        <v>46494233.050000004</v>
      </c>
      <c r="J136" s="207">
        <f t="shared" si="36"/>
        <v>93.667373385612095</v>
      </c>
      <c r="M136" s="295"/>
      <c r="N136" s="295"/>
      <c r="O136" s="295"/>
    </row>
    <row r="137" spans="1:15" x14ac:dyDescent="0.25">
      <c r="A137" s="276">
        <v>126</v>
      </c>
      <c r="B137" s="283" t="s">
        <v>254</v>
      </c>
      <c r="C137" s="281" t="s">
        <v>151</v>
      </c>
      <c r="D137" s="281" t="s">
        <v>90</v>
      </c>
      <c r="E137" s="281" t="s">
        <v>257</v>
      </c>
      <c r="F137" s="276"/>
      <c r="G137" s="27">
        <f>G138+G145</f>
        <v>49637596.710000001</v>
      </c>
      <c r="H137" s="27">
        <f t="shared" ref="H137:I137" si="64">H138+H145</f>
        <v>49637596.710000001</v>
      </c>
      <c r="I137" s="27">
        <f t="shared" si="64"/>
        <v>46494233.050000004</v>
      </c>
      <c r="J137" s="207">
        <f t="shared" si="36"/>
        <v>93.667373385612095</v>
      </c>
      <c r="M137" s="295"/>
      <c r="N137" s="295"/>
      <c r="O137" s="295"/>
    </row>
    <row r="138" spans="1:15" ht="45" x14ac:dyDescent="0.25">
      <c r="A138" s="276">
        <v>127</v>
      </c>
      <c r="B138" s="277" t="s">
        <v>369</v>
      </c>
      <c r="C138" s="281" t="s">
        <v>151</v>
      </c>
      <c r="D138" s="281" t="s">
        <v>90</v>
      </c>
      <c r="E138" s="281" t="s">
        <v>258</v>
      </c>
      <c r="F138" s="276"/>
      <c r="G138" s="27">
        <f t="shared" ref="G138:H138" si="65">G139+G141+G143</f>
        <v>43411360.020000003</v>
      </c>
      <c r="H138" s="27">
        <f t="shared" si="65"/>
        <v>43411360.020000003</v>
      </c>
      <c r="I138" s="27">
        <f t="shared" ref="I138" si="66">I139+I141+I143</f>
        <v>41418576.560000002</v>
      </c>
      <c r="J138" s="207">
        <f t="shared" si="36"/>
        <v>95.409534603196249</v>
      </c>
      <c r="M138" s="295"/>
      <c r="N138" s="295"/>
      <c r="O138" s="295"/>
    </row>
    <row r="139" spans="1:15" ht="45" x14ac:dyDescent="0.25">
      <c r="A139" s="276">
        <v>128</v>
      </c>
      <c r="B139" s="282" t="s">
        <v>14</v>
      </c>
      <c r="C139" s="281" t="s">
        <v>151</v>
      </c>
      <c r="D139" s="281" t="s">
        <v>90</v>
      </c>
      <c r="E139" s="281" t="s">
        <v>258</v>
      </c>
      <c r="F139" s="276">
        <v>100</v>
      </c>
      <c r="G139" s="27">
        <f t="shared" ref="G139:I139" si="67">G140</f>
        <v>35194130.020000003</v>
      </c>
      <c r="H139" s="27">
        <f t="shared" si="67"/>
        <v>35194130.020000003</v>
      </c>
      <c r="I139" s="27">
        <f t="shared" si="67"/>
        <v>34278547.289999999</v>
      </c>
      <c r="J139" s="207">
        <f t="shared" si="36"/>
        <v>97.398478867130109</v>
      </c>
      <c r="M139" s="295"/>
      <c r="N139" s="295"/>
      <c r="O139" s="295"/>
    </row>
    <row r="140" spans="1:15" x14ac:dyDescent="0.25">
      <c r="A140" s="276">
        <v>129</v>
      </c>
      <c r="B140" s="282" t="s">
        <v>15</v>
      </c>
      <c r="C140" s="281" t="s">
        <v>151</v>
      </c>
      <c r="D140" s="281" t="s">
        <v>90</v>
      </c>
      <c r="E140" s="281" t="s">
        <v>258</v>
      </c>
      <c r="F140" s="276">
        <v>120</v>
      </c>
      <c r="G140" s="27">
        <f>28622672.62+318856+1835037.4-318856+457486.1+49215.6+1185892.53+50402+1953948.16+646833.6+0.01+392642</f>
        <v>35194130.020000003</v>
      </c>
      <c r="H140" s="27">
        <v>35194130.020000003</v>
      </c>
      <c r="I140" s="146">
        <v>34278547.289999999</v>
      </c>
      <c r="J140" s="207">
        <f t="shared" si="36"/>
        <v>97.398478867130109</v>
      </c>
      <c r="M140" s="295"/>
      <c r="N140" s="295"/>
      <c r="O140" s="295"/>
    </row>
    <row r="141" spans="1:15" x14ac:dyDescent="0.25">
      <c r="A141" s="276">
        <v>130</v>
      </c>
      <c r="B141" s="282" t="s">
        <v>19</v>
      </c>
      <c r="C141" s="281" t="s">
        <v>151</v>
      </c>
      <c r="D141" s="281" t="s">
        <v>90</v>
      </c>
      <c r="E141" s="281" t="s">
        <v>258</v>
      </c>
      <c r="F141" s="276">
        <v>200</v>
      </c>
      <c r="G141" s="27">
        <f t="shared" ref="G141:I141" si="68">G142</f>
        <v>5844700</v>
      </c>
      <c r="H141" s="27">
        <f t="shared" si="68"/>
        <v>5844700</v>
      </c>
      <c r="I141" s="27">
        <f t="shared" si="68"/>
        <v>4768456.53</v>
      </c>
      <c r="J141" s="207">
        <f t="shared" ref="J141:J204" si="69">I141/H141*100</f>
        <v>81.585992950878577</v>
      </c>
      <c r="M141" s="295"/>
      <c r="N141" s="295"/>
      <c r="O141" s="295"/>
    </row>
    <row r="142" spans="1:15" x14ac:dyDescent="0.25">
      <c r="A142" s="276">
        <v>131</v>
      </c>
      <c r="B142" s="282" t="s">
        <v>20</v>
      </c>
      <c r="C142" s="281" t="s">
        <v>151</v>
      </c>
      <c r="D142" s="281" t="s">
        <v>90</v>
      </c>
      <c r="E142" s="281" t="s">
        <v>258</v>
      </c>
      <c r="F142" s="276">
        <f>240</f>
        <v>240</v>
      </c>
      <c r="G142" s="27">
        <f>6538000-917000+28650+50+195000</f>
        <v>5844700</v>
      </c>
      <c r="H142" s="27">
        <v>5844700</v>
      </c>
      <c r="I142" s="146">
        <v>4768456.53</v>
      </c>
      <c r="J142" s="207">
        <f t="shared" si="69"/>
        <v>81.585992950878577</v>
      </c>
      <c r="M142" s="295"/>
      <c r="N142" s="295"/>
      <c r="O142" s="295"/>
    </row>
    <row r="143" spans="1:15" x14ac:dyDescent="0.25">
      <c r="A143" s="276">
        <v>132</v>
      </c>
      <c r="B143" s="282" t="s">
        <v>31</v>
      </c>
      <c r="C143" s="281" t="s">
        <v>151</v>
      </c>
      <c r="D143" s="281" t="s">
        <v>90</v>
      </c>
      <c r="E143" s="281" t="s">
        <v>258</v>
      </c>
      <c r="F143" s="276">
        <v>800</v>
      </c>
      <c r="G143" s="27">
        <f t="shared" ref="G143:I143" si="70">G144</f>
        <v>2372530</v>
      </c>
      <c r="H143" s="27">
        <f t="shared" si="70"/>
        <v>2372530</v>
      </c>
      <c r="I143" s="27">
        <f t="shared" si="70"/>
        <v>2371572.7400000002</v>
      </c>
      <c r="J143" s="207">
        <f t="shared" si="69"/>
        <v>99.959652354237889</v>
      </c>
      <c r="M143" s="295"/>
      <c r="N143" s="295"/>
      <c r="O143" s="295"/>
    </row>
    <row r="144" spans="1:15" x14ac:dyDescent="0.25">
      <c r="A144" s="276">
        <v>133</v>
      </c>
      <c r="B144" s="282" t="s">
        <v>79</v>
      </c>
      <c r="C144" s="281" t="s">
        <v>151</v>
      </c>
      <c r="D144" s="281" t="s">
        <v>90</v>
      </c>
      <c r="E144" s="281" t="s">
        <v>258</v>
      </c>
      <c r="F144" s="276">
        <v>850</v>
      </c>
      <c r="G144" s="27">
        <f>824530+917000+600000+31000</f>
        <v>2372530</v>
      </c>
      <c r="H144" s="27">
        <v>2372530</v>
      </c>
      <c r="I144" s="146">
        <v>2371572.7400000002</v>
      </c>
      <c r="J144" s="207">
        <f t="shared" si="69"/>
        <v>99.959652354237889</v>
      </c>
      <c r="M144" s="295"/>
      <c r="N144" s="295"/>
      <c r="O144" s="295"/>
    </row>
    <row r="145" spans="1:15" ht="45" x14ac:dyDescent="0.25">
      <c r="A145" s="276">
        <v>134</v>
      </c>
      <c r="B145" s="283" t="s">
        <v>371</v>
      </c>
      <c r="C145" s="281" t="s">
        <v>151</v>
      </c>
      <c r="D145" s="281" t="s">
        <v>90</v>
      </c>
      <c r="E145" s="281" t="s">
        <v>370</v>
      </c>
      <c r="F145" s="276"/>
      <c r="G145" s="27">
        <f t="shared" ref="G145:I146" si="71">G146</f>
        <v>6226236.6900000004</v>
      </c>
      <c r="H145" s="27">
        <f t="shared" si="71"/>
        <v>6226236.6900000004</v>
      </c>
      <c r="I145" s="27">
        <f t="shared" si="71"/>
        <v>5075656.49</v>
      </c>
      <c r="J145" s="207">
        <f t="shared" si="69"/>
        <v>81.520455175628726</v>
      </c>
      <c r="M145" s="295"/>
      <c r="N145" s="295"/>
      <c r="O145" s="295"/>
    </row>
    <row r="146" spans="1:15" ht="45" x14ac:dyDescent="0.25">
      <c r="A146" s="276">
        <v>135</v>
      </c>
      <c r="B146" s="282" t="s">
        <v>14</v>
      </c>
      <c r="C146" s="281" t="s">
        <v>151</v>
      </c>
      <c r="D146" s="281" t="s">
        <v>90</v>
      </c>
      <c r="E146" s="281" t="s">
        <v>370</v>
      </c>
      <c r="F146" s="276">
        <v>100</v>
      </c>
      <c r="G146" s="27">
        <f t="shared" si="71"/>
        <v>6226236.6900000004</v>
      </c>
      <c r="H146" s="27">
        <f t="shared" si="71"/>
        <v>6226236.6900000004</v>
      </c>
      <c r="I146" s="27">
        <f t="shared" si="71"/>
        <v>5075656.49</v>
      </c>
      <c r="J146" s="207">
        <f t="shared" si="69"/>
        <v>81.520455175628726</v>
      </c>
      <c r="M146" s="295"/>
      <c r="N146" s="295"/>
      <c r="O146" s="295"/>
    </row>
    <row r="147" spans="1:15" x14ac:dyDescent="0.25">
      <c r="A147" s="276">
        <v>136</v>
      </c>
      <c r="B147" s="282" t="s">
        <v>15</v>
      </c>
      <c r="C147" s="281" t="s">
        <v>151</v>
      </c>
      <c r="D147" s="281" t="s">
        <v>90</v>
      </c>
      <c r="E147" s="281" t="s">
        <v>370</v>
      </c>
      <c r="F147" s="276">
        <v>120</v>
      </c>
      <c r="G147" s="27">
        <f>4562761.95+442940.4+1623440+2954.34-405860</f>
        <v>6226236.6900000004</v>
      </c>
      <c r="H147" s="27">
        <v>6226236.6900000004</v>
      </c>
      <c r="I147" s="146">
        <v>5075656.49</v>
      </c>
      <c r="J147" s="207">
        <f t="shared" si="69"/>
        <v>81.520455175628726</v>
      </c>
      <c r="M147" s="295"/>
      <c r="N147" s="295"/>
      <c r="O147" s="295"/>
    </row>
    <row r="148" spans="1:15" x14ac:dyDescent="0.25">
      <c r="A148" s="276">
        <v>137</v>
      </c>
      <c r="B148" s="298" t="s">
        <v>155</v>
      </c>
      <c r="C148" s="281" t="s">
        <v>151</v>
      </c>
      <c r="D148" s="281" t="s">
        <v>158</v>
      </c>
      <c r="E148" s="281"/>
      <c r="F148" s="276"/>
      <c r="G148" s="27">
        <f t="shared" ref="G148:I148" si="72">G149</f>
        <v>6000</v>
      </c>
      <c r="H148" s="27">
        <f t="shared" si="72"/>
        <v>6000</v>
      </c>
      <c r="I148" s="27">
        <f t="shared" si="72"/>
        <v>6000</v>
      </c>
      <c r="J148" s="207">
        <f t="shared" si="69"/>
        <v>100</v>
      </c>
      <c r="M148" s="295"/>
      <c r="N148" s="295"/>
      <c r="O148" s="295"/>
    </row>
    <row r="149" spans="1:15" x14ac:dyDescent="0.25">
      <c r="A149" s="276">
        <v>138</v>
      </c>
      <c r="B149" s="283" t="s">
        <v>253</v>
      </c>
      <c r="C149" s="281" t="s">
        <v>151</v>
      </c>
      <c r="D149" s="281" t="s">
        <v>158</v>
      </c>
      <c r="E149" s="281">
        <v>8500000000</v>
      </c>
      <c r="F149" s="276"/>
      <c r="G149" s="27">
        <f t="shared" ref="G149:H149" si="73">G151</f>
        <v>6000</v>
      </c>
      <c r="H149" s="27">
        <f t="shared" si="73"/>
        <v>6000</v>
      </c>
      <c r="I149" s="27">
        <f t="shared" ref="I149" si="74">I151</f>
        <v>6000</v>
      </c>
      <c r="J149" s="207">
        <f t="shared" si="69"/>
        <v>100</v>
      </c>
      <c r="M149" s="295"/>
      <c r="N149" s="295"/>
      <c r="O149" s="295"/>
    </row>
    <row r="150" spans="1:15" x14ac:dyDescent="0.25">
      <c r="A150" s="276">
        <v>139</v>
      </c>
      <c r="B150" s="283" t="s">
        <v>254</v>
      </c>
      <c r="C150" s="281" t="s">
        <v>151</v>
      </c>
      <c r="D150" s="281" t="s">
        <v>158</v>
      </c>
      <c r="E150" s="281">
        <v>8510000000</v>
      </c>
      <c r="F150" s="276"/>
      <c r="G150" s="27">
        <f t="shared" ref="G150:I152" si="75">G151</f>
        <v>6000</v>
      </c>
      <c r="H150" s="27">
        <f t="shared" si="75"/>
        <v>6000</v>
      </c>
      <c r="I150" s="27">
        <f t="shared" si="75"/>
        <v>6000</v>
      </c>
      <c r="J150" s="207">
        <f t="shared" si="69"/>
        <v>100</v>
      </c>
      <c r="M150" s="295"/>
      <c r="N150" s="295"/>
      <c r="O150" s="295"/>
    </row>
    <row r="151" spans="1:15" ht="45" x14ac:dyDescent="0.25">
      <c r="A151" s="276">
        <v>140</v>
      </c>
      <c r="B151" s="283" t="s">
        <v>394</v>
      </c>
      <c r="C151" s="281" t="s">
        <v>151</v>
      </c>
      <c r="D151" s="281" t="s">
        <v>158</v>
      </c>
      <c r="E151" s="281" t="s">
        <v>503</v>
      </c>
      <c r="F151" s="276"/>
      <c r="G151" s="27">
        <f t="shared" si="75"/>
        <v>6000</v>
      </c>
      <c r="H151" s="27">
        <f t="shared" si="75"/>
        <v>6000</v>
      </c>
      <c r="I151" s="27">
        <f t="shared" si="75"/>
        <v>6000</v>
      </c>
      <c r="J151" s="207">
        <f t="shared" si="69"/>
        <v>100</v>
      </c>
      <c r="M151" s="295"/>
      <c r="N151" s="295"/>
      <c r="O151" s="295"/>
    </row>
    <row r="152" spans="1:15" x14ac:dyDescent="0.25">
      <c r="A152" s="276">
        <v>141</v>
      </c>
      <c r="B152" s="282" t="s">
        <v>19</v>
      </c>
      <c r="C152" s="281" t="s">
        <v>151</v>
      </c>
      <c r="D152" s="281" t="s">
        <v>158</v>
      </c>
      <c r="E152" s="281">
        <v>8510051200</v>
      </c>
      <c r="F152" s="276">
        <v>200</v>
      </c>
      <c r="G152" s="27">
        <f t="shared" si="75"/>
        <v>6000</v>
      </c>
      <c r="H152" s="27">
        <f t="shared" si="75"/>
        <v>6000</v>
      </c>
      <c r="I152" s="27">
        <f t="shared" si="75"/>
        <v>6000</v>
      </c>
      <c r="J152" s="207">
        <f t="shared" si="69"/>
        <v>100</v>
      </c>
      <c r="M152" s="295"/>
      <c r="N152" s="295"/>
      <c r="O152" s="295"/>
    </row>
    <row r="153" spans="1:15" x14ac:dyDescent="0.25">
      <c r="A153" s="276">
        <v>142</v>
      </c>
      <c r="B153" s="282" t="s">
        <v>20</v>
      </c>
      <c r="C153" s="281" t="s">
        <v>151</v>
      </c>
      <c r="D153" s="281" t="s">
        <v>158</v>
      </c>
      <c r="E153" s="281">
        <v>8510051200</v>
      </c>
      <c r="F153" s="276">
        <v>240</v>
      </c>
      <c r="G153" s="27">
        <f>600+5400</f>
        <v>6000</v>
      </c>
      <c r="H153" s="27">
        <v>6000</v>
      </c>
      <c r="I153" s="146">
        <v>6000</v>
      </c>
      <c r="J153" s="207">
        <f t="shared" si="69"/>
        <v>100</v>
      </c>
      <c r="M153" s="295"/>
      <c r="N153" s="295"/>
      <c r="O153" s="295"/>
    </row>
    <row r="154" spans="1:15" x14ac:dyDescent="0.25">
      <c r="A154" s="276">
        <v>143</v>
      </c>
      <c r="B154" s="298" t="s">
        <v>30</v>
      </c>
      <c r="C154" s="281" t="s">
        <v>151</v>
      </c>
      <c r="D154" s="281" t="s">
        <v>92</v>
      </c>
      <c r="E154" s="281"/>
      <c r="F154" s="276"/>
      <c r="G154" s="27">
        <f t="shared" ref="G154:I154" si="76">G155</f>
        <v>2315000</v>
      </c>
      <c r="H154" s="27">
        <f t="shared" si="76"/>
        <v>2140000</v>
      </c>
      <c r="I154" s="27">
        <f t="shared" si="76"/>
        <v>0</v>
      </c>
      <c r="J154" s="207">
        <f t="shared" si="69"/>
        <v>0</v>
      </c>
      <c r="M154" s="295"/>
      <c r="N154" s="295"/>
      <c r="O154" s="295"/>
    </row>
    <row r="155" spans="1:15" x14ac:dyDescent="0.25">
      <c r="A155" s="276">
        <v>144</v>
      </c>
      <c r="B155" s="283" t="s">
        <v>253</v>
      </c>
      <c r="C155" s="281" t="s">
        <v>151</v>
      </c>
      <c r="D155" s="281" t="s">
        <v>92</v>
      </c>
      <c r="E155" s="281">
        <v>8500000000</v>
      </c>
      <c r="F155" s="276"/>
      <c r="G155" s="27">
        <f t="shared" ref="G155:H155" si="77">G157</f>
        <v>2315000</v>
      </c>
      <c r="H155" s="27">
        <f t="shared" si="77"/>
        <v>2140000</v>
      </c>
      <c r="I155" s="27">
        <f t="shared" ref="I155" si="78">I157</f>
        <v>0</v>
      </c>
      <c r="J155" s="207">
        <f t="shared" si="69"/>
        <v>0</v>
      </c>
      <c r="M155" s="295"/>
      <c r="N155" s="295"/>
      <c r="O155" s="295"/>
    </row>
    <row r="156" spans="1:15" x14ac:dyDescent="0.25">
      <c r="A156" s="276">
        <v>145</v>
      </c>
      <c r="B156" s="283" t="s">
        <v>254</v>
      </c>
      <c r="C156" s="281" t="s">
        <v>151</v>
      </c>
      <c r="D156" s="281" t="s">
        <v>92</v>
      </c>
      <c r="E156" s="281">
        <v>8510000000</v>
      </c>
      <c r="F156" s="276"/>
      <c r="G156" s="27">
        <f t="shared" ref="G156:I158" si="79">G157</f>
        <v>2315000</v>
      </c>
      <c r="H156" s="27">
        <f t="shared" si="79"/>
        <v>2140000</v>
      </c>
      <c r="I156" s="27">
        <f t="shared" si="79"/>
        <v>0</v>
      </c>
      <c r="J156" s="207">
        <f t="shared" si="69"/>
        <v>0</v>
      </c>
      <c r="M156" s="295"/>
      <c r="N156" s="295"/>
      <c r="O156" s="295"/>
    </row>
    <row r="157" spans="1:15" x14ac:dyDescent="0.25">
      <c r="A157" s="276">
        <v>146</v>
      </c>
      <c r="B157" s="31" t="s">
        <v>33</v>
      </c>
      <c r="C157" s="281" t="s">
        <v>151</v>
      </c>
      <c r="D157" s="281" t="s">
        <v>92</v>
      </c>
      <c r="E157" s="281">
        <v>8510010110</v>
      </c>
      <c r="F157" s="276"/>
      <c r="G157" s="27">
        <f t="shared" si="79"/>
        <v>2315000</v>
      </c>
      <c r="H157" s="27">
        <f t="shared" si="79"/>
        <v>2140000</v>
      </c>
      <c r="I157" s="27">
        <f t="shared" si="79"/>
        <v>0</v>
      </c>
      <c r="J157" s="207">
        <f t="shared" si="69"/>
        <v>0</v>
      </c>
      <c r="M157" s="295"/>
      <c r="N157" s="295"/>
      <c r="O157" s="295"/>
    </row>
    <row r="158" spans="1:15" x14ac:dyDescent="0.25">
      <c r="A158" s="276">
        <v>147</v>
      </c>
      <c r="B158" s="282" t="s">
        <v>31</v>
      </c>
      <c r="C158" s="281" t="s">
        <v>151</v>
      </c>
      <c r="D158" s="281" t="s">
        <v>92</v>
      </c>
      <c r="E158" s="281">
        <v>8510010110</v>
      </c>
      <c r="F158" s="276">
        <v>800</v>
      </c>
      <c r="G158" s="27">
        <f t="shared" si="79"/>
        <v>2315000</v>
      </c>
      <c r="H158" s="27">
        <f t="shared" si="79"/>
        <v>2140000</v>
      </c>
      <c r="I158" s="27">
        <f t="shared" si="79"/>
        <v>0</v>
      </c>
      <c r="J158" s="207">
        <f t="shared" si="69"/>
        <v>0</v>
      </c>
      <c r="M158" s="295"/>
      <c r="N158" s="295"/>
      <c r="O158" s="295"/>
    </row>
    <row r="159" spans="1:15" x14ac:dyDescent="0.25">
      <c r="A159" s="276">
        <v>148</v>
      </c>
      <c r="B159" s="282" t="s">
        <v>32</v>
      </c>
      <c r="C159" s="281" t="s">
        <v>151</v>
      </c>
      <c r="D159" s="281" t="s">
        <v>92</v>
      </c>
      <c r="E159" s="281">
        <v>8510010110</v>
      </c>
      <c r="F159" s="276">
        <v>870</v>
      </c>
      <c r="G159" s="27">
        <f>150000+4230000-1610000-140000-140000-175000</f>
        <v>2315000</v>
      </c>
      <c r="H159" s="27">
        <v>2140000</v>
      </c>
      <c r="I159" s="146">
        <v>0</v>
      </c>
      <c r="J159" s="207">
        <f t="shared" si="69"/>
        <v>0</v>
      </c>
      <c r="M159" s="295"/>
      <c r="N159" s="295"/>
      <c r="O159" s="295"/>
    </row>
    <row r="160" spans="1:15" x14ac:dyDescent="0.25">
      <c r="A160" s="276">
        <v>149</v>
      </c>
      <c r="B160" s="298" t="s">
        <v>34</v>
      </c>
      <c r="C160" s="281" t="s">
        <v>151</v>
      </c>
      <c r="D160" s="281" t="s">
        <v>93</v>
      </c>
      <c r="E160" s="281"/>
      <c r="F160" s="276"/>
      <c r="G160" s="27">
        <f>G161+G185</f>
        <v>9428669.4900000002</v>
      </c>
      <c r="H160" s="27">
        <f>H161+H185</f>
        <v>9428669.4900000002</v>
      </c>
      <c r="I160" s="27">
        <f>I161+I185</f>
        <v>7845444.7300000004</v>
      </c>
      <c r="J160" s="207">
        <f t="shared" si="69"/>
        <v>83.208396882729204</v>
      </c>
      <c r="M160" s="295"/>
      <c r="N160" s="295"/>
      <c r="O160" s="295"/>
    </row>
    <row r="161" spans="1:15" x14ac:dyDescent="0.25">
      <c r="A161" s="276">
        <v>150</v>
      </c>
      <c r="B161" s="283" t="s">
        <v>253</v>
      </c>
      <c r="C161" s="281" t="s">
        <v>151</v>
      </c>
      <c r="D161" s="281" t="s">
        <v>93</v>
      </c>
      <c r="E161" s="281">
        <v>8500000000</v>
      </c>
      <c r="F161" s="276"/>
      <c r="G161" s="27">
        <f t="shared" ref="G161:I161" si="80">G162</f>
        <v>4052919.49</v>
      </c>
      <c r="H161" s="27">
        <f t="shared" si="80"/>
        <v>4052919.49</v>
      </c>
      <c r="I161" s="27">
        <f t="shared" si="80"/>
        <v>2766545.08</v>
      </c>
      <c r="J161" s="207">
        <f t="shared" si="69"/>
        <v>68.260548644651223</v>
      </c>
      <c r="M161" s="295"/>
      <c r="N161" s="295"/>
      <c r="O161" s="295"/>
    </row>
    <row r="162" spans="1:15" x14ac:dyDescent="0.25">
      <c r="A162" s="276">
        <v>151</v>
      </c>
      <c r="B162" s="283" t="s">
        <v>254</v>
      </c>
      <c r="C162" s="281" t="s">
        <v>151</v>
      </c>
      <c r="D162" s="281" t="s">
        <v>93</v>
      </c>
      <c r="E162" s="281">
        <v>8510000000</v>
      </c>
      <c r="F162" s="276"/>
      <c r="G162" s="27">
        <f>G163+G168+G173+G176+G179+G182</f>
        <v>4052919.49</v>
      </c>
      <c r="H162" s="27">
        <f>H163+H168+H173+H176+H179+H182</f>
        <v>4052919.49</v>
      </c>
      <c r="I162" s="27">
        <f>I163+I168+I173+I176+I179+I182</f>
        <v>2766545.08</v>
      </c>
      <c r="J162" s="207">
        <f t="shared" si="69"/>
        <v>68.260548644651223</v>
      </c>
      <c r="M162" s="295"/>
      <c r="N162" s="295"/>
      <c r="O162" s="295"/>
    </row>
    <row r="163" spans="1:15" ht="45" x14ac:dyDescent="0.25">
      <c r="A163" s="276">
        <v>152</v>
      </c>
      <c r="B163" s="284" t="s">
        <v>35</v>
      </c>
      <c r="C163" s="281" t="s">
        <v>151</v>
      </c>
      <c r="D163" s="281" t="s">
        <v>93</v>
      </c>
      <c r="E163" s="281" t="s">
        <v>502</v>
      </c>
      <c r="F163" s="276"/>
      <c r="G163" s="27">
        <f t="shared" ref="G163:H163" si="81">G164+G166</f>
        <v>64900</v>
      </c>
      <c r="H163" s="27">
        <f t="shared" si="81"/>
        <v>64900</v>
      </c>
      <c r="I163" s="27">
        <f t="shared" ref="I163" si="82">I164+I166</f>
        <v>54732.53</v>
      </c>
      <c r="J163" s="207">
        <f t="shared" si="69"/>
        <v>84.333636363636373</v>
      </c>
      <c r="M163" s="295"/>
      <c r="N163" s="295"/>
      <c r="O163" s="295"/>
    </row>
    <row r="164" spans="1:15" ht="45" x14ac:dyDescent="0.25">
      <c r="A164" s="276">
        <v>153</v>
      </c>
      <c r="B164" s="282" t="s">
        <v>14</v>
      </c>
      <c r="C164" s="281" t="s">
        <v>151</v>
      </c>
      <c r="D164" s="281" t="s">
        <v>93</v>
      </c>
      <c r="E164" s="281">
        <v>8510074290</v>
      </c>
      <c r="F164" s="276">
        <v>100</v>
      </c>
      <c r="G164" s="27">
        <f t="shared" ref="G164:I164" si="83">G165</f>
        <v>62600</v>
      </c>
      <c r="H164" s="27">
        <f t="shared" si="83"/>
        <v>62600</v>
      </c>
      <c r="I164" s="27">
        <f t="shared" si="83"/>
        <v>52432.53</v>
      </c>
      <c r="J164" s="207">
        <f t="shared" si="69"/>
        <v>83.758035143769973</v>
      </c>
      <c r="M164" s="295"/>
      <c r="N164" s="295"/>
      <c r="O164" s="295"/>
    </row>
    <row r="165" spans="1:15" x14ac:dyDescent="0.25">
      <c r="A165" s="276">
        <v>154</v>
      </c>
      <c r="B165" s="282" t="s">
        <v>15</v>
      </c>
      <c r="C165" s="281" t="s">
        <v>151</v>
      </c>
      <c r="D165" s="281" t="s">
        <v>93</v>
      </c>
      <c r="E165" s="281">
        <v>8510074290</v>
      </c>
      <c r="F165" s="276">
        <v>120</v>
      </c>
      <c r="G165" s="27">
        <f>57500+5100</f>
        <v>62600</v>
      </c>
      <c r="H165" s="27">
        <v>62600</v>
      </c>
      <c r="I165" s="146">
        <v>52432.53</v>
      </c>
      <c r="J165" s="207">
        <f t="shared" si="69"/>
        <v>83.758035143769973</v>
      </c>
      <c r="M165" s="295"/>
      <c r="N165" s="295"/>
      <c r="O165" s="295"/>
    </row>
    <row r="166" spans="1:15" x14ac:dyDescent="0.25">
      <c r="A166" s="276">
        <v>155</v>
      </c>
      <c r="B166" s="282" t="s">
        <v>19</v>
      </c>
      <c r="C166" s="281" t="s">
        <v>151</v>
      </c>
      <c r="D166" s="281" t="s">
        <v>93</v>
      </c>
      <c r="E166" s="281">
        <v>8510074290</v>
      </c>
      <c r="F166" s="276">
        <v>200</v>
      </c>
      <c r="G166" s="27">
        <f t="shared" ref="G166:I166" si="84">G167</f>
        <v>2300</v>
      </c>
      <c r="H166" s="27">
        <f t="shared" si="84"/>
        <v>2300</v>
      </c>
      <c r="I166" s="27">
        <f t="shared" si="84"/>
        <v>2300</v>
      </c>
      <c r="J166" s="207">
        <f t="shared" si="69"/>
        <v>100</v>
      </c>
      <c r="M166" s="295"/>
      <c r="N166" s="295"/>
      <c r="O166" s="295"/>
    </row>
    <row r="167" spans="1:15" x14ac:dyDescent="0.25">
      <c r="A167" s="276">
        <v>156</v>
      </c>
      <c r="B167" s="282" t="s">
        <v>20</v>
      </c>
      <c r="C167" s="281" t="s">
        <v>151</v>
      </c>
      <c r="D167" s="281" t="s">
        <v>93</v>
      </c>
      <c r="E167" s="281">
        <v>8510074290</v>
      </c>
      <c r="F167" s="276">
        <v>240</v>
      </c>
      <c r="G167" s="27">
        <v>2300</v>
      </c>
      <c r="H167" s="27">
        <v>2300</v>
      </c>
      <c r="I167" s="146">
        <v>2300</v>
      </c>
      <c r="J167" s="207">
        <f t="shared" si="69"/>
        <v>100</v>
      </c>
      <c r="M167" s="295"/>
      <c r="N167" s="295"/>
      <c r="O167" s="295"/>
    </row>
    <row r="168" spans="1:15" ht="30" x14ac:dyDescent="0.25">
      <c r="A168" s="276">
        <v>157</v>
      </c>
      <c r="B168" s="277" t="s">
        <v>29</v>
      </c>
      <c r="C168" s="281" t="s">
        <v>151</v>
      </c>
      <c r="D168" s="281" t="s">
        <v>93</v>
      </c>
      <c r="E168" s="281">
        <v>8510076040</v>
      </c>
      <c r="F168" s="276"/>
      <c r="G168" s="27">
        <f t="shared" ref="G168:H168" si="85">G169+G171</f>
        <v>1111500</v>
      </c>
      <c r="H168" s="27">
        <f t="shared" si="85"/>
        <v>1111500</v>
      </c>
      <c r="I168" s="27">
        <f t="shared" ref="I168" si="86">I169+I171</f>
        <v>1110290.51</v>
      </c>
      <c r="J168" s="207">
        <f t="shared" si="69"/>
        <v>99.891183985605039</v>
      </c>
      <c r="M168" s="295"/>
      <c r="N168" s="295"/>
      <c r="O168" s="295"/>
    </row>
    <row r="169" spans="1:15" ht="45" x14ac:dyDescent="0.25">
      <c r="A169" s="276">
        <v>158</v>
      </c>
      <c r="B169" s="282" t="s">
        <v>14</v>
      </c>
      <c r="C169" s="281" t="s">
        <v>151</v>
      </c>
      <c r="D169" s="281" t="s">
        <v>93</v>
      </c>
      <c r="E169" s="281">
        <v>8510076040</v>
      </c>
      <c r="F169" s="276">
        <v>100</v>
      </c>
      <c r="G169" s="27">
        <f t="shared" ref="G169:I169" si="87">G170</f>
        <v>1042738.06</v>
      </c>
      <c r="H169" s="27">
        <f t="shared" si="87"/>
        <v>1042738.06</v>
      </c>
      <c r="I169" s="27">
        <f t="shared" si="87"/>
        <v>1041549.88</v>
      </c>
      <c r="J169" s="207">
        <f t="shared" si="69"/>
        <v>99.886051919884849</v>
      </c>
      <c r="M169" s="295"/>
      <c r="N169" s="295"/>
      <c r="O169" s="295"/>
    </row>
    <row r="170" spans="1:15" x14ac:dyDescent="0.25">
      <c r="A170" s="276">
        <v>159</v>
      </c>
      <c r="B170" s="282" t="s">
        <v>15</v>
      </c>
      <c r="C170" s="281" t="s">
        <v>151</v>
      </c>
      <c r="D170" s="281" t="s">
        <v>93</v>
      </c>
      <c r="E170" s="281">
        <v>8510076040</v>
      </c>
      <c r="F170" s="276">
        <v>120</v>
      </c>
      <c r="G170" s="27">
        <f>958338.06+84400</f>
        <v>1042738.06</v>
      </c>
      <c r="H170" s="27">
        <v>1042738.06</v>
      </c>
      <c r="I170" s="146">
        <v>1041549.88</v>
      </c>
      <c r="J170" s="207">
        <f t="shared" si="69"/>
        <v>99.886051919884849</v>
      </c>
      <c r="M170" s="295"/>
      <c r="N170" s="295"/>
      <c r="O170" s="295"/>
    </row>
    <row r="171" spans="1:15" x14ac:dyDescent="0.25">
      <c r="A171" s="276">
        <v>160</v>
      </c>
      <c r="B171" s="282" t="s">
        <v>19</v>
      </c>
      <c r="C171" s="281" t="s">
        <v>151</v>
      </c>
      <c r="D171" s="281" t="s">
        <v>93</v>
      </c>
      <c r="E171" s="281">
        <v>8510076040</v>
      </c>
      <c r="F171" s="276">
        <v>200</v>
      </c>
      <c r="G171" s="27">
        <f t="shared" ref="G171:I171" si="88">G172</f>
        <v>68761.94</v>
      </c>
      <c r="H171" s="27">
        <f t="shared" si="88"/>
        <v>68761.94</v>
      </c>
      <c r="I171" s="27">
        <f t="shared" si="88"/>
        <v>68740.63</v>
      </c>
      <c r="J171" s="207">
        <f t="shared" si="69"/>
        <v>99.969009018651889</v>
      </c>
      <c r="M171" s="295"/>
      <c r="N171" s="295"/>
      <c r="O171" s="295"/>
    </row>
    <row r="172" spans="1:15" x14ac:dyDescent="0.25">
      <c r="A172" s="276">
        <v>161</v>
      </c>
      <c r="B172" s="282" t="s">
        <v>20</v>
      </c>
      <c r="C172" s="281" t="s">
        <v>151</v>
      </c>
      <c r="D172" s="281" t="s">
        <v>93</v>
      </c>
      <c r="E172" s="281">
        <v>8510076040</v>
      </c>
      <c r="F172" s="276">
        <v>240</v>
      </c>
      <c r="G172" s="27">
        <v>68761.94</v>
      </c>
      <c r="H172" s="27">
        <v>68761.94</v>
      </c>
      <c r="I172" s="146">
        <v>68740.63</v>
      </c>
      <c r="J172" s="207">
        <f t="shared" si="69"/>
        <v>99.969009018651889</v>
      </c>
      <c r="M172" s="295"/>
      <c r="N172" s="295"/>
      <c r="O172" s="295"/>
    </row>
    <row r="173" spans="1:15" ht="45" x14ac:dyDescent="0.25">
      <c r="A173" s="276">
        <v>162</v>
      </c>
      <c r="B173" s="277" t="s">
        <v>36</v>
      </c>
      <c r="C173" s="281" t="s">
        <v>151</v>
      </c>
      <c r="D173" s="281" t="s">
        <v>93</v>
      </c>
      <c r="E173" s="281">
        <v>8510092020</v>
      </c>
      <c r="F173" s="276"/>
      <c r="G173" s="27">
        <f>G174</f>
        <v>300000</v>
      </c>
      <c r="H173" s="27">
        <f t="shared" ref="H173:I173" si="89">H174</f>
        <v>300000</v>
      </c>
      <c r="I173" s="27">
        <f t="shared" si="89"/>
        <v>268041.48</v>
      </c>
      <c r="J173" s="207">
        <f t="shared" si="69"/>
        <v>89.347159999999988</v>
      </c>
      <c r="M173" s="295"/>
      <c r="N173" s="295"/>
      <c r="O173" s="295"/>
    </row>
    <row r="174" spans="1:15" x14ac:dyDescent="0.25">
      <c r="A174" s="276">
        <v>163</v>
      </c>
      <c r="B174" s="282" t="s">
        <v>31</v>
      </c>
      <c r="C174" s="281" t="s">
        <v>151</v>
      </c>
      <c r="D174" s="281" t="s">
        <v>93</v>
      </c>
      <c r="E174" s="281">
        <v>8510092020</v>
      </c>
      <c r="F174" s="276">
        <v>800</v>
      </c>
      <c r="G174" s="27">
        <f t="shared" ref="G174:I174" si="90">G175</f>
        <v>300000</v>
      </c>
      <c r="H174" s="27">
        <f t="shared" si="90"/>
        <v>300000</v>
      </c>
      <c r="I174" s="27">
        <f t="shared" si="90"/>
        <v>268041.48</v>
      </c>
      <c r="J174" s="207">
        <f t="shared" si="69"/>
        <v>89.347159999999988</v>
      </c>
      <c r="M174" s="295"/>
      <c r="N174" s="295"/>
      <c r="O174" s="295"/>
    </row>
    <row r="175" spans="1:15" x14ac:dyDescent="0.25">
      <c r="A175" s="276">
        <v>164</v>
      </c>
      <c r="B175" s="299" t="s">
        <v>37</v>
      </c>
      <c r="C175" s="281" t="s">
        <v>151</v>
      </c>
      <c r="D175" s="281" t="s">
        <v>93</v>
      </c>
      <c r="E175" s="281">
        <v>8510092020</v>
      </c>
      <c r="F175" s="276">
        <v>830</v>
      </c>
      <c r="G175" s="27">
        <f>500000-200000</f>
        <v>300000</v>
      </c>
      <c r="H175" s="27">
        <v>300000</v>
      </c>
      <c r="I175" s="146">
        <v>268041.48</v>
      </c>
      <c r="J175" s="207">
        <f t="shared" si="69"/>
        <v>89.347159999999988</v>
      </c>
      <c r="M175" s="295"/>
      <c r="N175" s="295"/>
      <c r="O175" s="295"/>
    </row>
    <row r="176" spans="1:15" ht="30" x14ac:dyDescent="0.25">
      <c r="A176" s="276">
        <v>165</v>
      </c>
      <c r="B176" s="277" t="s">
        <v>242</v>
      </c>
      <c r="C176" s="281" t="s">
        <v>151</v>
      </c>
      <c r="D176" s="281" t="s">
        <v>93</v>
      </c>
      <c r="E176" s="281" t="s">
        <v>261</v>
      </c>
      <c r="F176" s="276"/>
      <c r="G176" s="27">
        <f t="shared" ref="G176:I177" si="91">G177</f>
        <v>167662.97</v>
      </c>
      <c r="H176" s="27">
        <f t="shared" si="91"/>
        <v>167662.97</v>
      </c>
      <c r="I176" s="27">
        <f t="shared" si="91"/>
        <v>65565.070000000007</v>
      </c>
      <c r="J176" s="207">
        <f t="shared" si="69"/>
        <v>39.10527768892559</v>
      </c>
      <c r="M176" s="295"/>
      <c r="N176" s="295"/>
      <c r="O176" s="295"/>
    </row>
    <row r="177" spans="1:15" x14ac:dyDescent="0.25">
      <c r="A177" s="276">
        <v>166</v>
      </c>
      <c r="B177" s="282" t="s">
        <v>19</v>
      </c>
      <c r="C177" s="281" t="s">
        <v>151</v>
      </c>
      <c r="D177" s="281" t="s">
        <v>93</v>
      </c>
      <c r="E177" s="281" t="s">
        <v>261</v>
      </c>
      <c r="F177" s="276">
        <v>200</v>
      </c>
      <c r="G177" s="27">
        <f t="shared" si="91"/>
        <v>167662.97</v>
      </c>
      <c r="H177" s="27">
        <f t="shared" si="91"/>
        <v>167662.97</v>
      </c>
      <c r="I177" s="27">
        <f t="shared" si="91"/>
        <v>65565.070000000007</v>
      </c>
      <c r="J177" s="207">
        <f t="shared" si="69"/>
        <v>39.10527768892559</v>
      </c>
      <c r="M177" s="295"/>
      <c r="N177" s="295"/>
      <c r="O177" s="295"/>
    </row>
    <row r="178" spans="1:15" x14ac:dyDescent="0.25">
      <c r="A178" s="276">
        <v>167</v>
      </c>
      <c r="B178" s="282" t="s">
        <v>20</v>
      </c>
      <c r="C178" s="281" t="s">
        <v>151</v>
      </c>
      <c r="D178" s="281" t="s">
        <v>93</v>
      </c>
      <c r="E178" s="281" t="s">
        <v>261</v>
      </c>
      <c r="F178" s="276">
        <v>240</v>
      </c>
      <c r="G178" s="27">
        <f>30000+167662.97-30000</f>
        <v>167662.97</v>
      </c>
      <c r="H178" s="27">
        <v>167662.97</v>
      </c>
      <c r="I178" s="146">
        <v>65565.070000000007</v>
      </c>
      <c r="J178" s="207">
        <f t="shared" si="69"/>
        <v>39.10527768892559</v>
      </c>
      <c r="M178" s="295"/>
      <c r="N178" s="295"/>
      <c r="O178" s="295"/>
    </row>
    <row r="179" spans="1:15" x14ac:dyDescent="0.25">
      <c r="A179" s="276">
        <v>168</v>
      </c>
      <c r="B179" s="283" t="s">
        <v>398</v>
      </c>
      <c r="C179" s="281" t="s">
        <v>151</v>
      </c>
      <c r="D179" s="281" t="s">
        <v>93</v>
      </c>
      <c r="E179" s="281">
        <v>8510084570</v>
      </c>
      <c r="F179" s="276"/>
      <c r="G179" s="27">
        <f t="shared" ref="G179:I180" si="92">G180</f>
        <v>70720.51999999999</v>
      </c>
      <c r="H179" s="27">
        <f t="shared" si="92"/>
        <v>70720.52</v>
      </c>
      <c r="I179" s="27">
        <f t="shared" si="92"/>
        <v>70366.399999999994</v>
      </c>
      <c r="J179" s="207">
        <f t="shared" si="69"/>
        <v>99.499268387732428</v>
      </c>
      <c r="L179" s="46"/>
      <c r="M179" s="295"/>
      <c r="N179" s="295"/>
      <c r="O179" s="295"/>
    </row>
    <row r="180" spans="1:15" x14ac:dyDescent="0.25">
      <c r="A180" s="276">
        <v>169</v>
      </c>
      <c r="B180" s="282" t="s">
        <v>19</v>
      </c>
      <c r="C180" s="281" t="s">
        <v>151</v>
      </c>
      <c r="D180" s="281" t="s">
        <v>93</v>
      </c>
      <c r="E180" s="281">
        <v>8510084570</v>
      </c>
      <c r="F180" s="276">
        <v>200</v>
      </c>
      <c r="G180" s="27">
        <f t="shared" si="92"/>
        <v>70720.51999999999</v>
      </c>
      <c r="H180" s="27">
        <f t="shared" si="92"/>
        <v>70720.52</v>
      </c>
      <c r="I180" s="27">
        <f t="shared" si="92"/>
        <v>70366.399999999994</v>
      </c>
      <c r="J180" s="207">
        <f t="shared" si="69"/>
        <v>99.499268387732428</v>
      </c>
      <c r="L180" s="46"/>
      <c r="M180" s="295"/>
      <c r="N180" s="295"/>
      <c r="O180" s="295"/>
    </row>
    <row r="181" spans="1:15" x14ac:dyDescent="0.25">
      <c r="A181" s="276">
        <v>170</v>
      </c>
      <c r="B181" s="282" t="s">
        <v>20</v>
      </c>
      <c r="C181" s="281" t="s">
        <v>151</v>
      </c>
      <c r="D181" s="281" t="s">
        <v>93</v>
      </c>
      <c r="E181" s="281">
        <v>8510084570</v>
      </c>
      <c r="F181" s="276">
        <v>240</v>
      </c>
      <c r="G181" s="27">
        <f>35720.52+35000</f>
        <v>70720.51999999999</v>
      </c>
      <c r="H181" s="27">
        <v>70720.52</v>
      </c>
      <c r="I181" s="146">
        <v>70366.399999999994</v>
      </c>
      <c r="J181" s="207">
        <f t="shared" si="69"/>
        <v>99.499268387732428</v>
      </c>
      <c r="L181" s="46"/>
      <c r="M181" s="295"/>
      <c r="N181" s="295"/>
      <c r="O181" s="295"/>
    </row>
    <row r="182" spans="1:15" ht="30" x14ac:dyDescent="0.25">
      <c r="A182" s="276">
        <v>171</v>
      </c>
      <c r="B182" s="283" t="s">
        <v>417</v>
      </c>
      <c r="C182" s="281" t="s">
        <v>151</v>
      </c>
      <c r="D182" s="281" t="s">
        <v>93</v>
      </c>
      <c r="E182" s="281">
        <v>8510084580</v>
      </c>
      <c r="F182" s="276"/>
      <c r="G182" s="27">
        <f t="shared" ref="G182:I183" si="93">G183</f>
        <v>2338136</v>
      </c>
      <c r="H182" s="27">
        <f t="shared" si="93"/>
        <v>2338136</v>
      </c>
      <c r="I182" s="27">
        <f t="shared" si="93"/>
        <v>1197549.0900000001</v>
      </c>
      <c r="J182" s="207">
        <f t="shared" si="69"/>
        <v>51.218110922546856</v>
      </c>
      <c r="L182" s="46"/>
      <c r="M182" s="295"/>
      <c r="N182" s="295"/>
      <c r="O182" s="295"/>
    </row>
    <row r="183" spans="1:15" x14ac:dyDescent="0.25">
      <c r="A183" s="276">
        <v>172</v>
      </c>
      <c r="B183" s="282" t="s">
        <v>19</v>
      </c>
      <c r="C183" s="281" t="s">
        <v>151</v>
      </c>
      <c r="D183" s="281" t="s">
        <v>93</v>
      </c>
      <c r="E183" s="281">
        <v>8510084580</v>
      </c>
      <c r="F183" s="276">
        <v>200</v>
      </c>
      <c r="G183" s="27">
        <f t="shared" si="93"/>
        <v>2338136</v>
      </c>
      <c r="H183" s="27">
        <f t="shared" si="93"/>
        <v>2338136</v>
      </c>
      <c r="I183" s="27">
        <f t="shared" si="93"/>
        <v>1197549.0900000001</v>
      </c>
      <c r="J183" s="207">
        <f t="shared" si="69"/>
        <v>51.218110922546856</v>
      </c>
      <c r="L183" s="46"/>
      <c r="M183" s="295"/>
      <c r="N183" s="295"/>
      <c r="O183" s="295"/>
    </row>
    <row r="184" spans="1:15" x14ac:dyDescent="0.25">
      <c r="A184" s="276">
        <v>173</v>
      </c>
      <c r="B184" s="282" t="s">
        <v>20</v>
      </c>
      <c r="C184" s="281" t="s">
        <v>151</v>
      </c>
      <c r="D184" s="281" t="s">
        <v>93</v>
      </c>
      <c r="E184" s="281">
        <v>8510084580</v>
      </c>
      <c r="F184" s="276">
        <v>240</v>
      </c>
      <c r="G184" s="27">
        <f>500000+3461576-1623440</f>
        <v>2338136</v>
      </c>
      <c r="H184" s="27">
        <v>2338136</v>
      </c>
      <c r="I184" s="146">
        <v>1197549.0900000001</v>
      </c>
      <c r="J184" s="207">
        <f t="shared" si="69"/>
        <v>51.218110922546856</v>
      </c>
      <c r="L184" s="46"/>
      <c r="M184" s="295"/>
      <c r="N184" s="295"/>
      <c r="O184" s="295"/>
    </row>
    <row r="185" spans="1:15" ht="30" x14ac:dyDescent="0.25">
      <c r="A185" s="276">
        <v>174</v>
      </c>
      <c r="B185" s="74" t="s">
        <v>262</v>
      </c>
      <c r="C185" s="281" t="s">
        <v>151</v>
      </c>
      <c r="D185" s="281" t="s">
        <v>93</v>
      </c>
      <c r="E185" s="281">
        <v>1100000000</v>
      </c>
      <c r="F185" s="276"/>
      <c r="G185" s="27">
        <f t="shared" ref="G185:H185" si="94">G190+G186</f>
        <v>5375750</v>
      </c>
      <c r="H185" s="27">
        <f t="shared" si="94"/>
        <v>5375750</v>
      </c>
      <c r="I185" s="27">
        <f t="shared" ref="I185" si="95">I190+I186</f>
        <v>5078899.6500000004</v>
      </c>
      <c r="J185" s="207">
        <f t="shared" si="69"/>
        <v>94.477973306050316</v>
      </c>
      <c r="M185" s="295"/>
      <c r="N185" s="295"/>
      <c r="O185" s="295"/>
    </row>
    <row r="186" spans="1:15" ht="61.5" customHeight="1" x14ac:dyDescent="0.25">
      <c r="A186" s="276">
        <v>175</v>
      </c>
      <c r="B186" s="277" t="s">
        <v>468</v>
      </c>
      <c r="C186" s="281" t="s">
        <v>151</v>
      </c>
      <c r="D186" s="281" t="s">
        <v>93</v>
      </c>
      <c r="E186" s="281">
        <v>1140000000</v>
      </c>
      <c r="F186" s="276"/>
      <c r="G186" s="27">
        <f t="shared" ref="G186:I188" si="96">G187</f>
        <v>4276250</v>
      </c>
      <c r="H186" s="27">
        <f t="shared" si="96"/>
        <v>4276250</v>
      </c>
      <c r="I186" s="27">
        <f t="shared" si="96"/>
        <v>4043273.9</v>
      </c>
      <c r="J186" s="207">
        <f t="shared" si="69"/>
        <v>94.551859690149072</v>
      </c>
      <c r="M186" s="295"/>
      <c r="N186" s="295"/>
      <c r="O186" s="295"/>
    </row>
    <row r="187" spans="1:15" ht="60" x14ac:dyDescent="0.25">
      <c r="A187" s="276">
        <v>176</v>
      </c>
      <c r="B187" s="282" t="s">
        <v>416</v>
      </c>
      <c r="C187" s="281" t="s">
        <v>151</v>
      </c>
      <c r="D187" s="281" t="s">
        <v>93</v>
      </c>
      <c r="E187" s="281">
        <v>1140092040</v>
      </c>
      <c r="F187" s="276"/>
      <c r="G187" s="27">
        <f t="shared" si="96"/>
        <v>4276250</v>
      </c>
      <c r="H187" s="27">
        <f t="shared" si="96"/>
        <v>4276250</v>
      </c>
      <c r="I187" s="27">
        <f t="shared" si="96"/>
        <v>4043273.9</v>
      </c>
      <c r="J187" s="207">
        <f t="shared" si="69"/>
        <v>94.551859690149072</v>
      </c>
      <c r="M187" s="295"/>
      <c r="N187" s="295"/>
      <c r="O187" s="295"/>
    </row>
    <row r="188" spans="1:15" x14ac:dyDescent="0.25">
      <c r="A188" s="276">
        <v>177</v>
      </c>
      <c r="B188" s="282" t="s">
        <v>19</v>
      </c>
      <c r="C188" s="281" t="s">
        <v>151</v>
      </c>
      <c r="D188" s="281" t="s">
        <v>93</v>
      </c>
      <c r="E188" s="281">
        <v>1140092040</v>
      </c>
      <c r="F188" s="276">
        <v>200</v>
      </c>
      <c r="G188" s="27">
        <f t="shared" si="96"/>
        <v>4276250</v>
      </c>
      <c r="H188" s="27">
        <f t="shared" si="96"/>
        <v>4276250</v>
      </c>
      <c r="I188" s="27">
        <f t="shared" si="96"/>
        <v>4043273.9</v>
      </c>
      <c r="J188" s="207">
        <f t="shared" si="69"/>
        <v>94.551859690149072</v>
      </c>
      <c r="M188" s="295"/>
      <c r="N188" s="295"/>
      <c r="O188" s="295"/>
    </row>
    <row r="189" spans="1:15" x14ac:dyDescent="0.25">
      <c r="A189" s="276">
        <v>178</v>
      </c>
      <c r="B189" s="282" t="s">
        <v>20</v>
      </c>
      <c r="C189" s="281" t="s">
        <v>151</v>
      </c>
      <c r="D189" s="281" t="s">
        <v>93</v>
      </c>
      <c r="E189" s="281">
        <v>1140092040</v>
      </c>
      <c r="F189" s="276">
        <v>240</v>
      </c>
      <c r="G189" s="27">
        <f>5541250-1265000</f>
        <v>4276250</v>
      </c>
      <c r="H189" s="27">
        <v>4276250</v>
      </c>
      <c r="I189" s="146">
        <v>4043273.9</v>
      </c>
      <c r="J189" s="207">
        <f t="shared" si="69"/>
        <v>94.551859690149072</v>
      </c>
      <c r="M189" s="295"/>
      <c r="N189" s="295"/>
      <c r="O189" s="295"/>
    </row>
    <row r="190" spans="1:15" x14ac:dyDescent="0.25">
      <c r="A190" s="276">
        <v>179</v>
      </c>
      <c r="B190" s="74" t="s">
        <v>38</v>
      </c>
      <c r="C190" s="281" t="s">
        <v>151</v>
      </c>
      <c r="D190" s="281" t="s">
        <v>93</v>
      </c>
      <c r="E190" s="281">
        <v>1190000000</v>
      </c>
      <c r="F190" s="276"/>
      <c r="G190" s="27">
        <f t="shared" ref="G190:I190" si="97">G191</f>
        <v>1099500</v>
      </c>
      <c r="H190" s="27">
        <f t="shared" si="97"/>
        <v>1099500</v>
      </c>
      <c r="I190" s="27">
        <f t="shared" si="97"/>
        <v>1035625.75</v>
      </c>
      <c r="J190" s="207">
        <f t="shared" si="69"/>
        <v>94.190609367894496</v>
      </c>
      <c r="M190" s="295"/>
      <c r="N190" s="295"/>
      <c r="O190" s="295"/>
    </row>
    <row r="191" spans="1:15" ht="30" x14ac:dyDescent="0.25">
      <c r="A191" s="276">
        <v>180</v>
      </c>
      <c r="B191" s="277" t="s">
        <v>263</v>
      </c>
      <c r="C191" s="281" t="s">
        <v>151</v>
      </c>
      <c r="D191" s="281" t="s">
        <v>93</v>
      </c>
      <c r="E191" s="281">
        <v>1190074670</v>
      </c>
      <c r="F191" s="276"/>
      <c r="G191" s="27">
        <f t="shared" ref="G191:H191" si="98">G192+G194</f>
        <v>1099500</v>
      </c>
      <c r="H191" s="27">
        <f t="shared" si="98"/>
        <v>1099500</v>
      </c>
      <c r="I191" s="27">
        <f t="shared" ref="I191" si="99">I192+I194</f>
        <v>1035625.75</v>
      </c>
      <c r="J191" s="207">
        <f t="shared" si="69"/>
        <v>94.190609367894496</v>
      </c>
      <c r="M191" s="295"/>
      <c r="N191" s="295"/>
      <c r="O191" s="295"/>
    </row>
    <row r="192" spans="1:15" ht="45" x14ac:dyDescent="0.25">
      <c r="A192" s="276">
        <v>181</v>
      </c>
      <c r="B192" s="282" t="s">
        <v>14</v>
      </c>
      <c r="C192" s="281" t="s">
        <v>151</v>
      </c>
      <c r="D192" s="281" t="s">
        <v>93</v>
      </c>
      <c r="E192" s="281">
        <v>1190074670</v>
      </c>
      <c r="F192" s="276">
        <v>100</v>
      </c>
      <c r="G192" s="27">
        <f t="shared" ref="G192:I192" si="100">G193</f>
        <v>1067738.06</v>
      </c>
      <c r="H192" s="27">
        <f t="shared" si="100"/>
        <v>1067738.06</v>
      </c>
      <c r="I192" s="27">
        <f t="shared" si="100"/>
        <v>1003864.11</v>
      </c>
      <c r="J192" s="207">
        <f t="shared" si="69"/>
        <v>94.017825870138978</v>
      </c>
      <c r="M192" s="295"/>
      <c r="N192" s="295"/>
      <c r="O192" s="295"/>
    </row>
    <row r="193" spans="1:15" x14ac:dyDescent="0.25">
      <c r="A193" s="276">
        <v>182</v>
      </c>
      <c r="B193" s="282" t="s">
        <v>15</v>
      </c>
      <c r="C193" s="281" t="s">
        <v>151</v>
      </c>
      <c r="D193" s="281" t="s">
        <v>93</v>
      </c>
      <c r="E193" s="281">
        <v>1190074670</v>
      </c>
      <c r="F193" s="276">
        <v>120</v>
      </c>
      <c r="G193" s="27">
        <f>958338.06+84400+25000</f>
        <v>1067738.06</v>
      </c>
      <c r="H193" s="27">
        <v>1067738.06</v>
      </c>
      <c r="I193" s="146">
        <v>1003864.11</v>
      </c>
      <c r="J193" s="207">
        <f t="shared" si="69"/>
        <v>94.017825870138978</v>
      </c>
      <c r="M193" s="295"/>
      <c r="N193" s="295"/>
      <c r="O193" s="295"/>
    </row>
    <row r="194" spans="1:15" x14ac:dyDescent="0.25">
      <c r="A194" s="276">
        <v>183</v>
      </c>
      <c r="B194" s="282" t="s">
        <v>19</v>
      </c>
      <c r="C194" s="281" t="s">
        <v>151</v>
      </c>
      <c r="D194" s="281" t="s">
        <v>93</v>
      </c>
      <c r="E194" s="281">
        <v>1190074670</v>
      </c>
      <c r="F194" s="276">
        <v>200</v>
      </c>
      <c r="G194" s="27">
        <f t="shared" ref="G194:I194" si="101">G195</f>
        <v>31761.940000000002</v>
      </c>
      <c r="H194" s="27">
        <f t="shared" si="101"/>
        <v>31761.94</v>
      </c>
      <c r="I194" s="27">
        <f t="shared" si="101"/>
        <v>31761.64</v>
      </c>
      <c r="J194" s="207">
        <f t="shared" si="69"/>
        <v>99.99905547331177</v>
      </c>
      <c r="M194" s="295"/>
      <c r="N194" s="295"/>
      <c r="O194" s="295"/>
    </row>
    <row r="195" spans="1:15" x14ac:dyDescent="0.25">
      <c r="A195" s="276">
        <v>184</v>
      </c>
      <c r="B195" s="282" t="s">
        <v>20</v>
      </c>
      <c r="C195" s="281" t="s">
        <v>151</v>
      </c>
      <c r="D195" s="281" t="s">
        <v>93</v>
      </c>
      <c r="E195" s="281">
        <v>1190074670</v>
      </c>
      <c r="F195" s="276">
        <v>240</v>
      </c>
      <c r="G195" s="27">
        <f>56761.94-25000</f>
        <v>31761.940000000002</v>
      </c>
      <c r="H195" s="27">
        <v>31761.94</v>
      </c>
      <c r="I195" s="146">
        <v>31761.64</v>
      </c>
      <c r="J195" s="207">
        <f t="shared" si="69"/>
        <v>99.99905547331177</v>
      </c>
      <c r="M195" s="295"/>
      <c r="N195" s="295"/>
      <c r="O195" s="295"/>
    </row>
    <row r="196" spans="1:15" x14ac:dyDescent="0.25">
      <c r="A196" s="276">
        <v>185</v>
      </c>
      <c r="B196" s="282" t="s">
        <v>97</v>
      </c>
      <c r="C196" s="281" t="s">
        <v>151</v>
      </c>
      <c r="D196" s="281" t="s">
        <v>98</v>
      </c>
      <c r="E196" s="281"/>
      <c r="F196" s="276"/>
      <c r="G196" s="27">
        <f t="shared" ref="G196:G197" si="102">G197</f>
        <v>583054.56000000006</v>
      </c>
      <c r="H196" s="27">
        <f t="shared" ref="H196:I197" si="103">H197</f>
        <v>583054.56000000006</v>
      </c>
      <c r="I196" s="27">
        <f t="shared" si="103"/>
        <v>438093.04</v>
      </c>
      <c r="J196" s="207">
        <f t="shared" si="69"/>
        <v>75.137572030994832</v>
      </c>
      <c r="M196" s="295"/>
      <c r="N196" s="295"/>
      <c r="O196" s="295"/>
    </row>
    <row r="197" spans="1:15" ht="38.25" customHeight="1" x14ac:dyDescent="0.25">
      <c r="A197" s="276">
        <v>186</v>
      </c>
      <c r="B197" s="282" t="s">
        <v>428</v>
      </c>
      <c r="C197" s="281" t="s">
        <v>151</v>
      </c>
      <c r="D197" s="281" t="s">
        <v>375</v>
      </c>
      <c r="E197" s="281"/>
      <c r="F197" s="276"/>
      <c r="G197" s="27">
        <f t="shared" si="102"/>
        <v>583054.56000000006</v>
      </c>
      <c r="H197" s="27">
        <f t="shared" si="103"/>
        <v>583054.56000000006</v>
      </c>
      <c r="I197" s="27">
        <f t="shared" si="103"/>
        <v>438093.04</v>
      </c>
      <c r="J197" s="207">
        <f t="shared" si="69"/>
        <v>75.137572030994832</v>
      </c>
      <c r="M197" s="295"/>
      <c r="N197" s="295"/>
      <c r="O197" s="295"/>
    </row>
    <row r="198" spans="1:15" ht="31.5" customHeight="1" x14ac:dyDescent="0.25">
      <c r="A198" s="276">
        <v>187</v>
      </c>
      <c r="B198" s="282" t="s">
        <v>146</v>
      </c>
      <c r="C198" s="281" t="s">
        <v>151</v>
      </c>
      <c r="D198" s="281" t="s">
        <v>375</v>
      </c>
      <c r="E198" s="281" t="s">
        <v>185</v>
      </c>
      <c r="F198" s="276"/>
      <c r="G198" s="27">
        <f>G199+G206</f>
        <v>583054.56000000006</v>
      </c>
      <c r="H198" s="27">
        <f>H199+H206</f>
        <v>583054.56000000006</v>
      </c>
      <c r="I198" s="27">
        <f>I199+I206</f>
        <v>438093.04</v>
      </c>
      <c r="J198" s="207">
        <f t="shared" si="69"/>
        <v>75.137572030994832</v>
      </c>
      <c r="M198" s="295"/>
      <c r="N198" s="295"/>
      <c r="O198" s="295"/>
    </row>
    <row r="199" spans="1:15" ht="31.5" customHeight="1" x14ac:dyDescent="0.25">
      <c r="A199" s="276">
        <v>188</v>
      </c>
      <c r="B199" s="279" t="s">
        <v>290</v>
      </c>
      <c r="C199" s="281" t="s">
        <v>151</v>
      </c>
      <c r="D199" s="281" t="s">
        <v>375</v>
      </c>
      <c r="E199" s="281" t="s">
        <v>186</v>
      </c>
      <c r="F199" s="276"/>
      <c r="G199" s="27">
        <f>G200+G203</f>
        <v>473054.56</v>
      </c>
      <c r="H199" s="27">
        <f t="shared" ref="H199:I199" si="104">H200+H203</f>
        <v>473054.56</v>
      </c>
      <c r="I199" s="27">
        <f t="shared" si="104"/>
        <v>336880.04</v>
      </c>
      <c r="J199" s="207">
        <f t="shared" si="69"/>
        <v>71.21378134479879</v>
      </c>
      <c r="M199" s="295"/>
      <c r="N199" s="295"/>
      <c r="O199" s="295"/>
    </row>
    <row r="200" spans="1:15" ht="87" customHeight="1" x14ac:dyDescent="0.25">
      <c r="A200" s="276">
        <v>189</v>
      </c>
      <c r="B200" s="282" t="s">
        <v>596</v>
      </c>
      <c r="C200" s="281" t="s">
        <v>151</v>
      </c>
      <c r="D200" s="281" t="s">
        <v>375</v>
      </c>
      <c r="E200" s="281" t="s">
        <v>433</v>
      </c>
      <c r="F200" s="276"/>
      <c r="G200" s="27">
        <f t="shared" ref="G200:G201" si="105">G201</f>
        <v>189500</v>
      </c>
      <c r="H200" s="27">
        <f t="shared" ref="H200:I201" si="106">H201</f>
        <v>189500</v>
      </c>
      <c r="I200" s="27">
        <f t="shared" si="106"/>
        <v>189432.36</v>
      </c>
      <c r="J200" s="207">
        <f t="shared" si="69"/>
        <v>99.964306068601573</v>
      </c>
      <c r="M200" s="295"/>
      <c r="N200" s="295"/>
      <c r="O200" s="295"/>
    </row>
    <row r="201" spans="1:15" ht="23.25" customHeight="1" x14ac:dyDescent="0.25">
      <c r="A201" s="276">
        <v>190</v>
      </c>
      <c r="B201" s="282" t="s">
        <v>19</v>
      </c>
      <c r="C201" s="281" t="s">
        <v>151</v>
      </c>
      <c r="D201" s="281" t="s">
        <v>375</v>
      </c>
      <c r="E201" s="281" t="s">
        <v>433</v>
      </c>
      <c r="F201" s="276">
        <v>200</v>
      </c>
      <c r="G201" s="27">
        <f t="shared" si="105"/>
        <v>189500</v>
      </c>
      <c r="H201" s="27">
        <f t="shared" si="106"/>
        <v>189500</v>
      </c>
      <c r="I201" s="27">
        <f t="shared" si="106"/>
        <v>189432.36</v>
      </c>
      <c r="J201" s="207">
        <f t="shared" si="69"/>
        <v>99.964306068601573</v>
      </c>
      <c r="M201" s="295"/>
      <c r="N201" s="295"/>
      <c r="O201" s="295"/>
    </row>
    <row r="202" spans="1:15" ht="23.25" customHeight="1" x14ac:dyDescent="0.25">
      <c r="A202" s="276">
        <v>191</v>
      </c>
      <c r="B202" s="282" t="s">
        <v>20</v>
      </c>
      <c r="C202" s="281" t="s">
        <v>151</v>
      </c>
      <c r="D202" s="281" t="s">
        <v>375</v>
      </c>
      <c r="E202" s="281" t="s">
        <v>433</v>
      </c>
      <c r="F202" s="276">
        <v>240</v>
      </c>
      <c r="G202" s="27">
        <f>190000-500</f>
        <v>189500</v>
      </c>
      <c r="H202" s="27">
        <v>189500</v>
      </c>
      <c r="I202" s="146">
        <v>189432.36</v>
      </c>
      <c r="J202" s="207">
        <f t="shared" si="69"/>
        <v>99.964306068601573</v>
      </c>
      <c r="M202" s="295"/>
      <c r="N202" s="295"/>
      <c r="O202" s="295"/>
    </row>
    <row r="203" spans="1:15" ht="81.75" customHeight="1" x14ac:dyDescent="0.25">
      <c r="A203" s="276">
        <v>192</v>
      </c>
      <c r="B203" s="303" t="s">
        <v>561</v>
      </c>
      <c r="C203" s="281" t="s">
        <v>151</v>
      </c>
      <c r="D203" s="281" t="s">
        <v>375</v>
      </c>
      <c r="E203" s="281" t="s">
        <v>560</v>
      </c>
      <c r="F203" s="276"/>
      <c r="G203" s="27">
        <f>G204</f>
        <v>283554.56</v>
      </c>
      <c r="H203" s="27">
        <f t="shared" ref="H203:I203" si="107">H204</f>
        <v>283554.56</v>
      </c>
      <c r="I203" s="27">
        <f t="shared" si="107"/>
        <v>147447.67999999999</v>
      </c>
      <c r="J203" s="207">
        <f t="shared" si="69"/>
        <v>51.999756237388674</v>
      </c>
      <c r="M203" s="295"/>
      <c r="N203" s="295"/>
      <c r="O203" s="295"/>
    </row>
    <row r="204" spans="1:15" ht="23.25" customHeight="1" x14ac:dyDescent="0.25">
      <c r="A204" s="276">
        <v>193</v>
      </c>
      <c r="B204" s="282" t="s">
        <v>508</v>
      </c>
      <c r="C204" s="281" t="s">
        <v>151</v>
      </c>
      <c r="D204" s="281" t="s">
        <v>375</v>
      </c>
      <c r="E204" s="281" t="s">
        <v>560</v>
      </c>
      <c r="F204" s="276">
        <v>200</v>
      </c>
      <c r="G204" s="27">
        <f>G205</f>
        <v>283554.56</v>
      </c>
      <c r="H204" s="27">
        <f t="shared" ref="H204:I204" si="108">H205</f>
        <v>283554.56</v>
      </c>
      <c r="I204" s="27">
        <f t="shared" si="108"/>
        <v>147447.67999999999</v>
      </c>
      <c r="J204" s="207">
        <f t="shared" si="69"/>
        <v>51.999756237388674</v>
      </c>
      <c r="M204" s="295"/>
      <c r="N204" s="295"/>
      <c r="O204" s="295"/>
    </row>
    <row r="205" spans="1:15" ht="23.25" customHeight="1" x14ac:dyDescent="0.25">
      <c r="A205" s="276">
        <v>194</v>
      </c>
      <c r="B205" s="282" t="s">
        <v>509</v>
      </c>
      <c r="C205" s="281" t="s">
        <v>151</v>
      </c>
      <c r="D205" s="281" t="s">
        <v>375</v>
      </c>
      <c r="E205" s="281" t="s">
        <v>560</v>
      </c>
      <c r="F205" s="276">
        <v>240</v>
      </c>
      <c r="G205" s="27">
        <f>500+283054.56</f>
        <v>283554.56</v>
      </c>
      <c r="H205" s="27">
        <v>283554.56</v>
      </c>
      <c r="I205" s="146">
        <v>147447.67999999999</v>
      </c>
      <c r="J205" s="207">
        <f t="shared" ref="J205:J268" si="109">I205/H205*100</f>
        <v>51.999756237388674</v>
      </c>
      <c r="M205" s="295"/>
      <c r="N205" s="295"/>
      <c r="O205" s="295"/>
    </row>
    <row r="206" spans="1:15" ht="33.75" customHeight="1" x14ac:dyDescent="0.25">
      <c r="A206" s="276">
        <v>195</v>
      </c>
      <c r="B206" s="282" t="s">
        <v>397</v>
      </c>
      <c r="C206" s="281" t="s">
        <v>151</v>
      </c>
      <c r="D206" s="281" t="s">
        <v>375</v>
      </c>
      <c r="E206" s="281" t="s">
        <v>429</v>
      </c>
      <c r="F206" s="276"/>
      <c r="G206" s="27">
        <f t="shared" ref="G206:H206" si="110">G207+G210+G213</f>
        <v>110000</v>
      </c>
      <c r="H206" s="27">
        <f t="shared" si="110"/>
        <v>110000</v>
      </c>
      <c r="I206" s="27">
        <f t="shared" ref="I206" si="111">I207+I210+I213</f>
        <v>101213</v>
      </c>
      <c r="J206" s="207">
        <f t="shared" si="109"/>
        <v>92.011818181818185</v>
      </c>
      <c r="M206" s="295"/>
      <c r="N206" s="295"/>
      <c r="O206" s="295"/>
    </row>
    <row r="207" spans="1:15" ht="68.25" customHeight="1" x14ac:dyDescent="0.25">
      <c r="A207" s="276">
        <v>196</v>
      </c>
      <c r="B207" s="282" t="s">
        <v>562</v>
      </c>
      <c r="C207" s="281" t="s">
        <v>151</v>
      </c>
      <c r="D207" s="281" t="s">
        <v>375</v>
      </c>
      <c r="E207" s="281" t="s">
        <v>431</v>
      </c>
      <c r="F207" s="276"/>
      <c r="G207" s="27">
        <f t="shared" ref="G207:I208" si="112">G208</f>
        <v>50000</v>
      </c>
      <c r="H207" s="27">
        <f t="shared" si="112"/>
        <v>50000</v>
      </c>
      <c r="I207" s="27">
        <f t="shared" si="112"/>
        <v>45072</v>
      </c>
      <c r="J207" s="207">
        <f t="shared" si="109"/>
        <v>90.144000000000005</v>
      </c>
      <c r="M207" s="295"/>
      <c r="N207" s="295"/>
      <c r="O207" s="295"/>
    </row>
    <row r="208" spans="1:15" ht="20.25" customHeight="1" x14ac:dyDescent="0.25">
      <c r="A208" s="276">
        <v>197</v>
      </c>
      <c r="B208" s="282" t="s">
        <v>19</v>
      </c>
      <c r="C208" s="281" t="s">
        <v>151</v>
      </c>
      <c r="D208" s="281" t="s">
        <v>375</v>
      </c>
      <c r="E208" s="281" t="s">
        <v>431</v>
      </c>
      <c r="F208" s="276">
        <v>200</v>
      </c>
      <c r="G208" s="27">
        <f t="shared" si="112"/>
        <v>50000</v>
      </c>
      <c r="H208" s="27">
        <f t="shared" si="112"/>
        <v>50000</v>
      </c>
      <c r="I208" s="27">
        <f t="shared" si="112"/>
        <v>45072</v>
      </c>
      <c r="J208" s="207">
        <f t="shared" si="109"/>
        <v>90.144000000000005</v>
      </c>
      <c r="M208" s="295"/>
      <c r="N208" s="295"/>
      <c r="O208" s="295"/>
    </row>
    <row r="209" spans="1:15" ht="21" customHeight="1" x14ac:dyDescent="0.25">
      <c r="A209" s="276">
        <v>198</v>
      </c>
      <c r="B209" s="282" t="s">
        <v>20</v>
      </c>
      <c r="C209" s="281" t="s">
        <v>151</v>
      </c>
      <c r="D209" s="281" t="s">
        <v>375</v>
      </c>
      <c r="E209" s="281" t="s">
        <v>431</v>
      </c>
      <c r="F209" s="276">
        <v>240</v>
      </c>
      <c r="G209" s="27">
        <v>50000</v>
      </c>
      <c r="H209" s="27">
        <v>50000</v>
      </c>
      <c r="I209" s="146">
        <v>45072</v>
      </c>
      <c r="J209" s="207">
        <f t="shared" si="109"/>
        <v>90.144000000000005</v>
      </c>
      <c r="M209" s="295"/>
      <c r="N209" s="295"/>
      <c r="O209" s="295"/>
    </row>
    <row r="210" spans="1:15" ht="72" customHeight="1" x14ac:dyDescent="0.25">
      <c r="A210" s="276">
        <v>199</v>
      </c>
      <c r="B210" s="282" t="s">
        <v>563</v>
      </c>
      <c r="C210" s="281" t="s">
        <v>151</v>
      </c>
      <c r="D210" s="281" t="s">
        <v>375</v>
      </c>
      <c r="E210" s="281" t="s">
        <v>432</v>
      </c>
      <c r="F210" s="276"/>
      <c r="G210" s="27">
        <f t="shared" ref="G210:I211" si="113">G211</f>
        <v>30000</v>
      </c>
      <c r="H210" s="27">
        <f t="shared" si="113"/>
        <v>30000</v>
      </c>
      <c r="I210" s="27">
        <f t="shared" si="113"/>
        <v>26141</v>
      </c>
      <c r="J210" s="207">
        <f t="shared" si="109"/>
        <v>87.136666666666656</v>
      </c>
      <c r="M210" s="295"/>
      <c r="N210" s="295"/>
      <c r="O210" s="295"/>
    </row>
    <row r="211" spans="1:15" ht="21" customHeight="1" x14ac:dyDescent="0.25">
      <c r="A211" s="276">
        <v>200</v>
      </c>
      <c r="B211" s="282" t="s">
        <v>19</v>
      </c>
      <c r="C211" s="281" t="s">
        <v>151</v>
      </c>
      <c r="D211" s="281" t="s">
        <v>375</v>
      </c>
      <c r="E211" s="281" t="s">
        <v>432</v>
      </c>
      <c r="F211" s="276">
        <v>200</v>
      </c>
      <c r="G211" s="27">
        <f t="shared" si="113"/>
        <v>30000</v>
      </c>
      <c r="H211" s="27">
        <f t="shared" si="113"/>
        <v>30000</v>
      </c>
      <c r="I211" s="27">
        <f t="shared" si="113"/>
        <v>26141</v>
      </c>
      <c r="J211" s="207">
        <f t="shared" si="109"/>
        <v>87.136666666666656</v>
      </c>
      <c r="M211" s="295"/>
      <c r="N211" s="295"/>
      <c r="O211" s="295"/>
    </row>
    <row r="212" spans="1:15" ht="18" customHeight="1" x14ac:dyDescent="0.25">
      <c r="A212" s="276">
        <v>201</v>
      </c>
      <c r="B212" s="282" t="s">
        <v>20</v>
      </c>
      <c r="C212" s="281" t="s">
        <v>151</v>
      </c>
      <c r="D212" s="281" t="s">
        <v>375</v>
      </c>
      <c r="E212" s="281" t="s">
        <v>432</v>
      </c>
      <c r="F212" s="276">
        <v>240</v>
      </c>
      <c r="G212" s="27">
        <v>30000</v>
      </c>
      <c r="H212" s="27">
        <v>30000</v>
      </c>
      <c r="I212" s="146">
        <v>26141</v>
      </c>
      <c r="J212" s="207">
        <f t="shared" si="109"/>
        <v>87.136666666666656</v>
      </c>
      <c r="M212" s="295"/>
      <c r="N212" s="295"/>
      <c r="O212" s="295"/>
    </row>
    <row r="213" spans="1:15" ht="60.75" customHeight="1" x14ac:dyDescent="0.25">
      <c r="A213" s="276">
        <v>202</v>
      </c>
      <c r="B213" s="282" t="s">
        <v>564</v>
      </c>
      <c r="C213" s="281" t="s">
        <v>151</v>
      </c>
      <c r="D213" s="281" t="s">
        <v>375</v>
      </c>
      <c r="E213" s="281" t="s">
        <v>434</v>
      </c>
      <c r="F213" s="276"/>
      <c r="G213" s="27">
        <f t="shared" ref="G213:I214" si="114">G214</f>
        <v>30000</v>
      </c>
      <c r="H213" s="27">
        <f t="shared" si="114"/>
        <v>30000</v>
      </c>
      <c r="I213" s="27">
        <f t="shared" si="114"/>
        <v>30000</v>
      </c>
      <c r="J213" s="207">
        <f t="shared" si="109"/>
        <v>100</v>
      </c>
      <c r="M213" s="295"/>
      <c r="N213" s="295"/>
      <c r="O213" s="295"/>
    </row>
    <row r="214" spans="1:15" ht="18" customHeight="1" x14ac:dyDescent="0.25">
      <c r="A214" s="276">
        <v>203</v>
      </c>
      <c r="B214" s="282" t="s">
        <v>19</v>
      </c>
      <c r="C214" s="281" t="s">
        <v>151</v>
      </c>
      <c r="D214" s="281" t="s">
        <v>375</v>
      </c>
      <c r="E214" s="281" t="s">
        <v>434</v>
      </c>
      <c r="F214" s="276">
        <v>200</v>
      </c>
      <c r="G214" s="27">
        <f t="shared" si="114"/>
        <v>30000</v>
      </c>
      <c r="H214" s="27">
        <f t="shared" si="114"/>
        <v>30000</v>
      </c>
      <c r="I214" s="27">
        <f t="shared" si="114"/>
        <v>30000</v>
      </c>
      <c r="J214" s="207">
        <f t="shared" si="109"/>
        <v>100</v>
      </c>
      <c r="M214" s="295"/>
      <c r="N214" s="295"/>
      <c r="O214" s="295"/>
    </row>
    <row r="215" spans="1:15" ht="22.5" customHeight="1" x14ac:dyDescent="0.25">
      <c r="A215" s="276">
        <v>204</v>
      </c>
      <c r="B215" s="282" t="s">
        <v>20</v>
      </c>
      <c r="C215" s="281" t="s">
        <v>151</v>
      </c>
      <c r="D215" s="281" t="s">
        <v>375</v>
      </c>
      <c r="E215" s="281" t="s">
        <v>434</v>
      </c>
      <c r="F215" s="276">
        <v>240</v>
      </c>
      <c r="G215" s="27">
        <v>30000</v>
      </c>
      <c r="H215" s="27">
        <v>30000</v>
      </c>
      <c r="I215" s="146">
        <v>30000</v>
      </c>
      <c r="J215" s="207">
        <f t="shared" si="109"/>
        <v>100</v>
      </c>
      <c r="M215" s="295"/>
      <c r="N215" s="295"/>
      <c r="O215" s="295"/>
    </row>
    <row r="216" spans="1:15" x14ac:dyDescent="0.25">
      <c r="A216" s="276">
        <v>205</v>
      </c>
      <c r="B216" s="298" t="s">
        <v>99</v>
      </c>
      <c r="C216" s="281" t="s">
        <v>151</v>
      </c>
      <c r="D216" s="281" t="s">
        <v>100</v>
      </c>
      <c r="E216" s="281"/>
      <c r="F216" s="276"/>
      <c r="G216" s="27">
        <f>G225+G233+G252+G246+G217</f>
        <v>37939597.039999999</v>
      </c>
      <c r="H216" s="27">
        <f t="shared" ref="H216:I216" si="115">H225+H233+H252+H246+H217</f>
        <v>37939597.039999999</v>
      </c>
      <c r="I216" s="27">
        <f t="shared" si="115"/>
        <v>32859705.020000003</v>
      </c>
      <c r="J216" s="207">
        <f t="shared" si="109"/>
        <v>86.610579931452008</v>
      </c>
      <c r="M216" s="295"/>
      <c r="N216" s="295"/>
      <c r="O216" s="295"/>
    </row>
    <row r="217" spans="1:15" x14ac:dyDescent="0.25">
      <c r="A217" s="276">
        <v>206</v>
      </c>
      <c r="B217" s="299" t="s">
        <v>23</v>
      </c>
      <c r="C217" s="281" t="s">
        <v>151</v>
      </c>
      <c r="D217" s="281" t="s">
        <v>102</v>
      </c>
      <c r="E217" s="281"/>
      <c r="F217" s="276"/>
      <c r="G217" s="27">
        <f>G218</f>
        <v>246900</v>
      </c>
      <c r="H217" s="27">
        <f t="shared" ref="H217:I219" si="116">H218</f>
        <v>246900</v>
      </c>
      <c r="I217" s="27">
        <f t="shared" si="116"/>
        <v>222717.16999999998</v>
      </c>
      <c r="J217" s="207">
        <f t="shared" si="109"/>
        <v>90.205415147833122</v>
      </c>
      <c r="M217" s="295"/>
      <c r="N217" s="295"/>
      <c r="O217" s="295"/>
    </row>
    <row r="218" spans="1:15" x14ac:dyDescent="0.25">
      <c r="A218" s="276">
        <v>207</v>
      </c>
      <c r="B218" s="283" t="s">
        <v>253</v>
      </c>
      <c r="C218" s="281" t="s">
        <v>151</v>
      </c>
      <c r="D218" s="281" t="s">
        <v>102</v>
      </c>
      <c r="E218" s="281">
        <v>8500000000</v>
      </c>
      <c r="F218" s="276"/>
      <c r="G218" s="27">
        <f>G219</f>
        <v>246900</v>
      </c>
      <c r="H218" s="27">
        <f t="shared" si="116"/>
        <v>246900</v>
      </c>
      <c r="I218" s="27">
        <f t="shared" si="116"/>
        <v>222717.16999999998</v>
      </c>
      <c r="J218" s="207">
        <f t="shared" si="109"/>
        <v>90.205415147833122</v>
      </c>
      <c r="M218" s="295"/>
      <c r="N218" s="295"/>
      <c r="O218" s="295"/>
    </row>
    <row r="219" spans="1:15" x14ac:dyDescent="0.25">
      <c r="A219" s="276">
        <v>208</v>
      </c>
      <c r="B219" s="283" t="s">
        <v>254</v>
      </c>
      <c r="C219" s="281" t="s">
        <v>151</v>
      </c>
      <c r="D219" s="281" t="s">
        <v>102</v>
      </c>
      <c r="E219" s="281">
        <v>8510000000</v>
      </c>
      <c r="F219" s="276"/>
      <c r="G219" s="27">
        <f>G220</f>
        <v>246900</v>
      </c>
      <c r="H219" s="27">
        <f t="shared" si="116"/>
        <v>246900</v>
      </c>
      <c r="I219" s="27">
        <f t="shared" si="116"/>
        <v>222717.16999999998</v>
      </c>
      <c r="J219" s="207">
        <f t="shared" si="109"/>
        <v>90.205415147833122</v>
      </c>
      <c r="M219" s="295"/>
      <c r="N219" s="295"/>
      <c r="O219" s="295"/>
    </row>
    <row r="220" spans="1:15" ht="30" x14ac:dyDescent="0.25">
      <c r="A220" s="276">
        <v>209</v>
      </c>
      <c r="B220" s="304" t="s">
        <v>496</v>
      </c>
      <c r="C220" s="281" t="s">
        <v>151</v>
      </c>
      <c r="D220" s="281" t="s">
        <v>102</v>
      </c>
      <c r="E220" s="281" t="s">
        <v>497</v>
      </c>
      <c r="F220" s="276"/>
      <c r="G220" s="27">
        <f>G221+G223</f>
        <v>246900</v>
      </c>
      <c r="H220" s="27">
        <f t="shared" ref="H220:I220" si="117">H221+H223</f>
        <v>246900</v>
      </c>
      <c r="I220" s="27">
        <f t="shared" si="117"/>
        <v>222717.16999999998</v>
      </c>
      <c r="J220" s="207">
        <f t="shared" si="109"/>
        <v>90.205415147833122</v>
      </c>
      <c r="M220" s="295"/>
      <c r="N220" s="295"/>
      <c r="O220" s="295"/>
    </row>
    <row r="221" spans="1:15" ht="45" x14ac:dyDescent="0.25">
      <c r="A221" s="276">
        <v>210</v>
      </c>
      <c r="B221" s="282" t="s">
        <v>14</v>
      </c>
      <c r="C221" s="281" t="s">
        <v>151</v>
      </c>
      <c r="D221" s="281" t="s">
        <v>102</v>
      </c>
      <c r="E221" s="281" t="s">
        <v>497</v>
      </c>
      <c r="F221" s="276">
        <v>100</v>
      </c>
      <c r="G221" s="27">
        <f>G222</f>
        <v>219161.62</v>
      </c>
      <c r="H221" s="27">
        <f t="shared" ref="H221:I221" si="118">H222</f>
        <v>219161.62</v>
      </c>
      <c r="I221" s="27">
        <f t="shared" si="118"/>
        <v>206322.4</v>
      </c>
      <c r="J221" s="207">
        <f t="shared" si="109"/>
        <v>94.141665862845883</v>
      </c>
      <c r="M221" s="295"/>
      <c r="N221" s="295"/>
      <c r="O221" s="295"/>
    </row>
    <row r="222" spans="1:15" x14ac:dyDescent="0.25">
      <c r="A222" s="276">
        <v>211</v>
      </c>
      <c r="B222" s="282" t="s">
        <v>15</v>
      </c>
      <c r="C222" s="281" t="s">
        <v>151</v>
      </c>
      <c r="D222" s="281" t="s">
        <v>102</v>
      </c>
      <c r="E222" s="281" t="s">
        <v>497</v>
      </c>
      <c r="F222" s="276">
        <v>120</v>
      </c>
      <c r="G222" s="27">
        <f>202261.62+16900</f>
        <v>219161.62</v>
      </c>
      <c r="H222" s="27">
        <v>219161.62</v>
      </c>
      <c r="I222" s="27">
        <v>206322.4</v>
      </c>
      <c r="J222" s="207">
        <f t="shared" si="109"/>
        <v>94.141665862845883</v>
      </c>
      <c r="M222" s="295"/>
      <c r="N222" s="295"/>
      <c r="O222" s="295"/>
    </row>
    <row r="223" spans="1:15" x14ac:dyDescent="0.25">
      <c r="A223" s="276">
        <v>212</v>
      </c>
      <c r="B223" s="282" t="s">
        <v>19</v>
      </c>
      <c r="C223" s="281" t="s">
        <v>151</v>
      </c>
      <c r="D223" s="281" t="s">
        <v>102</v>
      </c>
      <c r="E223" s="281" t="s">
        <v>497</v>
      </c>
      <c r="F223" s="276">
        <v>200</v>
      </c>
      <c r="G223" s="27">
        <f>G224</f>
        <v>27738.38</v>
      </c>
      <c r="H223" s="27">
        <f t="shared" ref="H223:I223" si="119">H224</f>
        <v>27738.38</v>
      </c>
      <c r="I223" s="27">
        <f t="shared" si="119"/>
        <v>16394.77</v>
      </c>
      <c r="J223" s="207">
        <f t="shared" si="109"/>
        <v>59.105001806161717</v>
      </c>
      <c r="M223" s="295"/>
      <c r="N223" s="295"/>
      <c r="O223" s="295"/>
    </row>
    <row r="224" spans="1:15" x14ac:dyDescent="0.25">
      <c r="A224" s="276">
        <v>213</v>
      </c>
      <c r="B224" s="282" t="s">
        <v>20</v>
      </c>
      <c r="C224" s="281" t="s">
        <v>151</v>
      </c>
      <c r="D224" s="281" t="s">
        <v>102</v>
      </c>
      <c r="E224" s="281" t="s">
        <v>497</v>
      </c>
      <c r="F224" s="276">
        <v>240</v>
      </c>
      <c r="G224" s="27">
        <v>27738.38</v>
      </c>
      <c r="H224" s="27">
        <v>27738.38</v>
      </c>
      <c r="I224" s="27">
        <v>16394.77</v>
      </c>
      <c r="J224" s="207">
        <f t="shared" si="109"/>
        <v>59.105001806161717</v>
      </c>
      <c r="M224" s="295"/>
      <c r="N224" s="295"/>
      <c r="O224" s="295"/>
    </row>
    <row r="225" spans="1:15" x14ac:dyDescent="0.25">
      <c r="A225" s="276">
        <v>214</v>
      </c>
      <c r="B225" s="74" t="s">
        <v>40</v>
      </c>
      <c r="C225" s="281" t="s">
        <v>151</v>
      </c>
      <c r="D225" s="281" t="s">
        <v>103</v>
      </c>
      <c r="E225" s="281"/>
      <c r="F225" s="276"/>
      <c r="G225" s="27">
        <f t="shared" ref="G225:I227" si="120">G226</f>
        <v>1147100</v>
      </c>
      <c r="H225" s="27">
        <f t="shared" si="120"/>
        <v>1147100</v>
      </c>
      <c r="I225" s="27">
        <f t="shared" si="120"/>
        <v>1145845.5</v>
      </c>
      <c r="J225" s="207">
        <f t="shared" si="109"/>
        <v>99.890637259175307</v>
      </c>
      <c r="M225" s="295"/>
      <c r="N225" s="295"/>
      <c r="O225" s="295"/>
    </row>
    <row r="226" spans="1:15" ht="30" x14ac:dyDescent="0.25">
      <c r="A226" s="276">
        <v>215</v>
      </c>
      <c r="B226" s="299" t="s">
        <v>372</v>
      </c>
      <c r="C226" s="281" t="s">
        <v>151</v>
      </c>
      <c r="D226" s="281" t="s">
        <v>103</v>
      </c>
      <c r="E226" s="281" t="s">
        <v>178</v>
      </c>
      <c r="F226" s="276"/>
      <c r="G226" s="27">
        <f t="shared" si="120"/>
        <v>1147100</v>
      </c>
      <c r="H226" s="27">
        <f t="shared" si="120"/>
        <v>1147100</v>
      </c>
      <c r="I226" s="27">
        <f t="shared" si="120"/>
        <v>1145845.5</v>
      </c>
      <c r="J226" s="207">
        <f t="shared" si="109"/>
        <v>99.890637259175307</v>
      </c>
      <c r="M226" s="295"/>
      <c r="N226" s="295"/>
      <c r="O226" s="295"/>
    </row>
    <row r="227" spans="1:15" x14ac:dyDescent="0.25">
      <c r="A227" s="276">
        <v>216</v>
      </c>
      <c r="B227" s="299" t="s">
        <v>264</v>
      </c>
      <c r="C227" s="281" t="s">
        <v>151</v>
      </c>
      <c r="D227" s="281" t="s">
        <v>103</v>
      </c>
      <c r="E227" s="281" t="s">
        <v>471</v>
      </c>
      <c r="F227" s="276"/>
      <c r="G227" s="27">
        <f t="shared" si="120"/>
        <v>1147100</v>
      </c>
      <c r="H227" s="27">
        <f t="shared" si="120"/>
        <v>1147100</v>
      </c>
      <c r="I227" s="27">
        <f t="shared" si="120"/>
        <v>1145845.5</v>
      </c>
      <c r="J227" s="207">
        <f t="shared" si="109"/>
        <v>99.890637259175307</v>
      </c>
      <c r="M227" s="295"/>
      <c r="N227" s="295"/>
      <c r="O227" s="295"/>
    </row>
    <row r="228" spans="1:15" ht="30" x14ac:dyDescent="0.25">
      <c r="A228" s="276">
        <v>217</v>
      </c>
      <c r="B228" s="279" t="s">
        <v>41</v>
      </c>
      <c r="C228" s="281" t="s">
        <v>151</v>
      </c>
      <c r="D228" s="281" t="s">
        <v>103</v>
      </c>
      <c r="E228" s="281" t="s">
        <v>472</v>
      </c>
      <c r="F228" s="276"/>
      <c r="G228" s="27">
        <f t="shared" ref="G228:H228" si="121">G229+G231</f>
        <v>1147100</v>
      </c>
      <c r="H228" s="27">
        <f t="shared" si="121"/>
        <v>1147100</v>
      </c>
      <c r="I228" s="27">
        <f t="shared" ref="I228" si="122">I229+I231</f>
        <v>1145845.5</v>
      </c>
      <c r="J228" s="207">
        <f t="shared" si="109"/>
        <v>99.890637259175307</v>
      </c>
      <c r="M228" s="295"/>
      <c r="N228" s="295"/>
      <c r="O228" s="295"/>
    </row>
    <row r="229" spans="1:15" ht="45" x14ac:dyDescent="0.25">
      <c r="A229" s="276">
        <v>218</v>
      </c>
      <c r="B229" s="282" t="s">
        <v>14</v>
      </c>
      <c r="C229" s="281" t="s">
        <v>151</v>
      </c>
      <c r="D229" s="281" t="s">
        <v>103</v>
      </c>
      <c r="E229" s="281" t="s">
        <v>472</v>
      </c>
      <c r="F229" s="276">
        <v>100</v>
      </c>
      <c r="G229" s="27">
        <f t="shared" ref="G229:I229" si="123">G230</f>
        <v>1042738.06</v>
      </c>
      <c r="H229" s="27">
        <f t="shared" si="123"/>
        <v>1042738.06</v>
      </c>
      <c r="I229" s="27">
        <f t="shared" si="123"/>
        <v>1041489.2</v>
      </c>
      <c r="J229" s="207">
        <f t="shared" si="109"/>
        <v>99.880232625248183</v>
      </c>
      <c r="M229" s="295"/>
      <c r="N229" s="295"/>
      <c r="O229" s="295"/>
    </row>
    <row r="230" spans="1:15" x14ac:dyDescent="0.25">
      <c r="A230" s="276">
        <v>219</v>
      </c>
      <c r="B230" s="282" t="s">
        <v>15</v>
      </c>
      <c r="C230" s="281" t="s">
        <v>151</v>
      </c>
      <c r="D230" s="281" t="s">
        <v>103</v>
      </c>
      <c r="E230" s="281" t="s">
        <v>472</v>
      </c>
      <c r="F230" s="276">
        <v>120</v>
      </c>
      <c r="G230" s="27">
        <f>958338.06+84400</f>
        <v>1042738.06</v>
      </c>
      <c r="H230" s="27">
        <v>1042738.06</v>
      </c>
      <c r="I230" s="27">
        <v>1041489.2</v>
      </c>
      <c r="J230" s="207">
        <f t="shared" si="109"/>
        <v>99.880232625248183</v>
      </c>
      <c r="M230" s="295"/>
      <c r="N230" s="295"/>
      <c r="O230" s="295"/>
    </row>
    <row r="231" spans="1:15" x14ac:dyDescent="0.25">
      <c r="A231" s="276">
        <v>220</v>
      </c>
      <c r="B231" s="282" t="s">
        <v>19</v>
      </c>
      <c r="C231" s="281" t="s">
        <v>151</v>
      </c>
      <c r="D231" s="281" t="s">
        <v>103</v>
      </c>
      <c r="E231" s="281" t="s">
        <v>472</v>
      </c>
      <c r="F231" s="276">
        <v>200</v>
      </c>
      <c r="G231" s="27">
        <f t="shared" ref="G231:I231" si="124">G232</f>
        <v>104361.94</v>
      </c>
      <c r="H231" s="27">
        <f t="shared" si="124"/>
        <v>104361.94</v>
      </c>
      <c r="I231" s="27">
        <f t="shared" si="124"/>
        <v>104356.3</v>
      </c>
      <c r="J231" s="207">
        <f t="shared" si="109"/>
        <v>99.994595730972421</v>
      </c>
      <c r="M231" s="295"/>
      <c r="N231" s="295"/>
      <c r="O231" s="295"/>
    </row>
    <row r="232" spans="1:15" x14ac:dyDescent="0.25">
      <c r="A232" s="276">
        <v>221</v>
      </c>
      <c r="B232" s="282" t="s">
        <v>20</v>
      </c>
      <c r="C232" s="281" t="s">
        <v>151</v>
      </c>
      <c r="D232" s="281" t="s">
        <v>103</v>
      </c>
      <c r="E232" s="281" t="s">
        <v>472</v>
      </c>
      <c r="F232" s="276">
        <v>240</v>
      </c>
      <c r="G232" s="27">
        <v>104361.94</v>
      </c>
      <c r="H232" s="27">
        <v>104361.94</v>
      </c>
      <c r="I232" s="146">
        <v>104356.3</v>
      </c>
      <c r="J232" s="207">
        <f t="shared" si="109"/>
        <v>99.994595730972421</v>
      </c>
      <c r="M232" s="295"/>
      <c r="N232" s="295"/>
      <c r="O232" s="295"/>
    </row>
    <row r="233" spans="1:15" x14ac:dyDescent="0.25">
      <c r="A233" s="276">
        <v>222</v>
      </c>
      <c r="B233" s="298" t="s">
        <v>39</v>
      </c>
      <c r="C233" s="281" t="s">
        <v>151</v>
      </c>
      <c r="D233" s="281" t="s">
        <v>104</v>
      </c>
      <c r="E233" s="281"/>
      <c r="F233" s="276"/>
      <c r="G233" s="27">
        <f t="shared" ref="G233:I234" si="125">G234</f>
        <v>30472143.210000001</v>
      </c>
      <c r="H233" s="27">
        <f t="shared" si="125"/>
        <v>30472143.210000001</v>
      </c>
      <c r="I233" s="27">
        <f t="shared" si="125"/>
        <v>29763913.34</v>
      </c>
      <c r="J233" s="207">
        <f t="shared" si="109"/>
        <v>97.675812084764743</v>
      </c>
      <c r="M233" s="295"/>
      <c r="N233" s="295"/>
      <c r="O233" s="295"/>
    </row>
    <row r="234" spans="1:15" x14ac:dyDescent="0.25">
      <c r="A234" s="276">
        <v>223</v>
      </c>
      <c r="B234" s="74" t="s">
        <v>42</v>
      </c>
      <c r="C234" s="281" t="s">
        <v>151</v>
      </c>
      <c r="D234" s="281" t="s">
        <v>104</v>
      </c>
      <c r="E234" s="281">
        <v>1000000000</v>
      </c>
      <c r="F234" s="276"/>
      <c r="G234" s="27">
        <f t="shared" si="125"/>
        <v>30472143.210000001</v>
      </c>
      <c r="H234" s="27">
        <f t="shared" si="125"/>
        <v>30472143.210000001</v>
      </c>
      <c r="I234" s="27">
        <f t="shared" si="125"/>
        <v>29763913.34</v>
      </c>
      <c r="J234" s="207">
        <f t="shared" si="109"/>
        <v>97.675812084764743</v>
      </c>
      <c r="M234" s="295"/>
      <c r="N234" s="295"/>
      <c r="O234" s="295"/>
    </row>
    <row r="235" spans="1:15" x14ac:dyDescent="0.25">
      <c r="A235" s="276">
        <v>224</v>
      </c>
      <c r="B235" s="74" t="s">
        <v>308</v>
      </c>
      <c r="C235" s="281" t="s">
        <v>151</v>
      </c>
      <c r="D235" s="281" t="s">
        <v>104</v>
      </c>
      <c r="E235" s="281">
        <v>1010000000</v>
      </c>
      <c r="F235" s="276"/>
      <c r="G235" s="27">
        <f>G236+G241</f>
        <v>30472143.210000001</v>
      </c>
      <c r="H235" s="27">
        <f t="shared" ref="H235:I235" si="126">H236+H241</f>
        <v>30472143.210000001</v>
      </c>
      <c r="I235" s="27">
        <f t="shared" si="126"/>
        <v>29763913.34</v>
      </c>
      <c r="J235" s="207">
        <f t="shared" si="109"/>
        <v>97.675812084764743</v>
      </c>
      <c r="M235" s="295"/>
      <c r="N235" s="295"/>
      <c r="O235" s="295"/>
    </row>
    <row r="236" spans="1:15" ht="75" x14ac:dyDescent="0.25">
      <c r="A236" s="276">
        <v>225</v>
      </c>
      <c r="B236" s="277" t="s">
        <v>43</v>
      </c>
      <c r="C236" s="281" t="s">
        <v>151</v>
      </c>
      <c r="D236" s="281" t="s">
        <v>104</v>
      </c>
      <c r="E236" s="281">
        <v>1010023580</v>
      </c>
      <c r="F236" s="276"/>
      <c r="G236" s="27">
        <f>G237+G239</f>
        <v>24444143.210000001</v>
      </c>
      <c r="H236" s="27">
        <f t="shared" ref="H236:I236" si="127">H237+H239</f>
        <v>24444143.210000001</v>
      </c>
      <c r="I236" s="27">
        <f t="shared" si="127"/>
        <v>23736013.34</v>
      </c>
      <c r="J236" s="207">
        <f t="shared" si="109"/>
        <v>97.103069377738265</v>
      </c>
      <c r="M236" s="295"/>
      <c r="N236" s="295"/>
      <c r="O236" s="295"/>
    </row>
    <row r="237" spans="1:15" x14ac:dyDescent="0.25">
      <c r="A237" s="276">
        <v>226</v>
      </c>
      <c r="B237" s="282" t="s">
        <v>31</v>
      </c>
      <c r="C237" s="281" t="s">
        <v>151</v>
      </c>
      <c r="D237" s="281" t="s">
        <v>104</v>
      </c>
      <c r="E237" s="281">
        <v>1010023580</v>
      </c>
      <c r="F237" s="276">
        <v>800</v>
      </c>
      <c r="G237" s="27">
        <f t="shared" ref="G237:I237" si="128">G238</f>
        <v>24444127.780000001</v>
      </c>
      <c r="H237" s="27">
        <f t="shared" si="128"/>
        <v>24444127.780000001</v>
      </c>
      <c r="I237" s="27">
        <f t="shared" si="128"/>
        <v>23735997.91</v>
      </c>
      <c r="J237" s="207">
        <f t="shared" si="109"/>
        <v>97.10306754909297</v>
      </c>
      <c r="M237" s="295"/>
      <c r="N237" s="295"/>
      <c r="O237" s="295"/>
    </row>
    <row r="238" spans="1:15" ht="30" x14ac:dyDescent="0.25">
      <c r="A238" s="276">
        <v>227</v>
      </c>
      <c r="B238" s="282" t="s">
        <v>44</v>
      </c>
      <c r="C238" s="281" t="s">
        <v>151</v>
      </c>
      <c r="D238" s="281" t="s">
        <v>104</v>
      </c>
      <c r="E238" s="281">
        <v>1010023580</v>
      </c>
      <c r="F238" s="276">
        <v>810</v>
      </c>
      <c r="G238" s="207">
        <f>25096210-652082.22</f>
        <v>24444127.780000001</v>
      </c>
      <c r="H238" s="207">
        <v>24444127.780000001</v>
      </c>
      <c r="I238" s="146">
        <v>23735997.91</v>
      </c>
      <c r="J238" s="207">
        <f t="shared" si="109"/>
        <v>97.10306754909297</v>
      </c>
      <c r="M238" s="295"/>
      <c r="N238" s="295"/>
      <c r="O238" s="295"/>
    </row>
    <row r="239" spans="1:15" x14ac:dyDescent="0.25">
      <c r="A239" s="276">
        <v>228</v>
      </c>
      <c r="B239" s="282" t="s">
        <v>19</v>
      </c>
      <c r="C239" s="281" t="s">
        <v>151</v>
      </c>
      <c r="D239" s="281" t="s">
        <v>104</v>
      </c>
      <c r="E239" s="281">
        <v>1010023580</v>
      </c>
      <c r="F239" s="276">
        <v>200</v>
      </c>
      <c r="G239" s="27">
        <f>G240</f>
        <v>15.43</v>
      </c>
      <c r="H239" s="27">
        <f t="shared" ref="H239:I239" si="129">H240</f>
        <v>15.43</v>
      </c>
      <c r="I239" s="27">
        <f t="shared" si="129"/>
        <v>15.43</v>
      </c>
      <c r="J239" s="207">
        <f t="shared" si="109"/>
        <v>100</v>
      </c>
      <c r="M239" s="295"/>
      <c r="N239" s="295"/>
      <c r="O239" s="295"/>
    </row>
    <row r="240" spans="1:15" x14ac:dyDescent="0.25">
      <c r="A240" s="276">
        <v>229</v>
      </c>
      <c r="B240" s="282" t="s">
        <v>20</v>
      </c>
      <c r="C240" s="281" t="s">
        <v>151</v>
      </c>
      <c r="D240" s="281" t="s">
        <v>104</v>
      </c>
      <c r="E240" s="281">
        <v>1010023580</v>
      </c>
      <c r="F240" s="276">
        <v>240</v>
      </c>
      <c r="G240" s="27">
        <v>15.43</v>
      </c>
      <c r="H240" s="27">
        <v>15.43</v>
      </c>
      <c r="I240" s="146">
        <v>15.43</v>
      </c>
      <c r="J240" s="207">
        <f t="shared" si="109"/>
        <v>100</v>
      </c>
      <c r="M240" s="295"/>
      <c r="N240" s="295"/>
      <c r="O240" s="295"/>
    </row>
    <row r="241" spans="1:15" ht="72.75" customHeight="1" x14ac:dyDescent="0.25">
      <c r="A241" s="276">
        <v>230</v>
      </c>
      <c r="B241" s="283" t="s">
        <v>265</v>
      </c>
      <c r="C241" s="281" t="s">
        <v>151</v>
      </c>
      <c r="D241" s="281" t="s">
        <v>104</v>
      </c>
      <c r="E241" s="281">
        <v>1010023590</v>
      </c>
      <c r="F241" s="276"/>
      <c r="G241" s="27">
        <f>G242+G244</f>
        <v>6028000</v>
      </c>
      <c r="H241" s="27">
        <f t="shared" ref="H241:I241" si="130">H242+H244</f>
        <v>6028000</v>
      </c>
      <c r="I241" s="27">
        <f t="shared" si="130"/>
        <v>6027900</v>
      </c>
      <c r="J241" s="207">
        <f t="shared" si="109"/>
        <v>99.998341074983415</v>
      </c>
      <c r="M241" s="295"/>
      <c r="N241" s="295"/>
      <c r="O241" s="295"/>
    </row>
    <row r="242" spans="1:15" x14ac:dyDescent="0.25">
      <c r="A242" s="276">
        <v>231</v>
      </c>
      <c r="B242" s="282" t="s">
        <v>31</v>
      </c>
      <c r="C242" s="281" t="s">
        <v>151</v>
      </c>
      <c r="D242" s="281" t="s">
        <v>104</v>
      </c>
      <c r="E242" s="281">
        <v>1010023590</v>
      </c>
      <c r="F242" s="276">
        <v>800</v>
      </c>
      <c r="G242" s="27">
        <f>G243</f>
        <v>6027900</v>
      </c>
      <c r="H242" s="27">
        <f t="shared" ref="H242:I242" si="131">H243</f>
        <v>6027900</v>
      </c>
      <c r="I242" s="27">
        <f t="shared" si="131"/>
        <v>6027900</v>
      </c>
      <c r="J242" s="207">
        <f t="shared" si="109"/>
        <v>100</v>
      </c>
      <c r="M242" s="295"/>
      <c r="N242" s="295"/>
      <c r="O242" s="295"/>
    </row>
    <row r="243" spans="1:15" ht="54.75" customHeight="1" x14ac:dyDescent="0.25">
      <c r="A243" s="276">
        <v>232</v>
      </c>
      <c r="B243" s="282" t="s">
        <v>44</v>
      </c>
      <c r="C243" s="281" t="s">
        <v>151</v>
      </c>
      <c r="D243" s="281" t="s">
        <v>104</v>
      </c>
      <c r="E243" s="281">
        <v>1010023590</v>
      </c>
      <c r="F243" s="276">
        <v>810</v>
      </c>
      <c r="G243" s="27">
        <v>6027900</v>
      </c>
      <c r="H243" s="27">
        <v>6027900</v>
      </c>
      <c r="I243" s="27">
        <v>6027900</v>
      </c>
      <c r="J243" s="207">
        <f t="shared" si="109"/>
        <v>100</v>
      </c>
      <c r="M243" s="295"/>
      <c r="N243" s="295"/>
      <c r="O243" s="295"/>
    </row>
    <row r="244" spans="1:15" ht="23.25" customHeight="1" x14ac:dyDescent="0.25">
      <c r="A244" s="276">
        <v>233</v>
      </c>
      <c r="B244" s="282" t="s">
        <v>19</v>
      </c>
      <c r="C244" s="281" t="s">
        <v>151</v>
      </c>
      <c r="D244" s="281" t="s">
        <v>104</v>
      </c>
      <c r="E244" s="281">
        <v>1010023590</v>
      </c>
      <c r="F244" s="276">
        <v>200</v>
      </c>
      <c r="G244" s="27">
        <f>G245</f>
        <v>100</v>
      </c>
      <c r="H244" s="27">
        <f t="shared" ref="H244:I244" si="132">H245</f>
        <v>100</v>
      </c>
      <c r="I244" s="27">
        <f t="shared" si="132"/>
        <v>0</v>
      </c>
      <c r="J244" s="207">
        <f t="shared" si="109"/>
        <v>0</v>
      </c>
      <c r="M244" s="295"/>
      <c r="N244" s="295"/>
      <c r="O244" s="295"/>
    </row>
    <row r="245" spans="1:15" ht="24.75" customHeight="1" x14ac:dyDescent="0.25">
      <c r="A245" s="276">
        <v>234</v>
      </c>
      <c r="B245" s="282" t="s">
        <v>20</v>
      </c>
      <c r="C245" s="281" t="s">
        <v>151</v>
      </c>
      <c r="D245" s="281" t="s">
        <v>104</v>
      </c>
      <c r="E245" s="281">
        <v>1010023590</v>
      </c>
      <c r="F245" s="276">
        <v>240</v>
      </c>
      <c r="G245" s="27">
        <v>100</v>
      </c>
      <c r="H245" s="27">
        <v>100</v>
      </c>
      <c r="I245" s="27">
        <v>0</v>
      </c>
      <c r="J245" s="207">
        <f t="shared" si="109"/>
        <v>0</v>
      </c>
      <c r="M245" s="295"/>
      <c r="N245" s="295"/>
      <c r="O245" s="295"/>
    </row>
    <row r="246" spans="1:15" x14ac:dyDescent="0.25">
      <c r="A246" s="276">
        <v>235</v>
      </c>
      <c r="B246" s="298" t="s">
        <v>45</v>
      </c>
      <c r="C246" s="281" t="s">
        <v>151</v>
      </c>
      <c r="D246" s="281" t="s">
        <v>106</v>
      </c>
      <c r="E246" s="281"/>
      <c r="F246" s="276"/>
      <c r="G246" s="27">
        <f t="shared" ref="G246:I246" si="133">G247</f>
        <v>1817813.83</v>
      </c>
      <c r="H246" s="27">
        <f t="shared" si="133"/>
        <v>1817813.83</v>
      </c>
      <c r="I246" s="27">
        <f t="shared" si="133"/>
        <v>1432801.16</v>
      </c>
      <c r="J246" s="207">
        <f t="shared" si="109"/>
        <v>78.820016459001181</v>
      </c>
      <c r="M246" s="295"/>
      <c r="N246" s="295"/>
      <c r="O246" s="295"/>
    </row>
    <row r="247" spans="1:15" x14ac:dyDescent="0.25">
      <c r="A247" s="276">
        <v>236</v>
      </c>
      <c r="B247" s="74" t="s">
        <v>42</v>
      </c>
      <c r="C247" s="281" t="s">
        <v>151</v>
      </c>
      <c r="D247" s="281" t="s">
        <v>106</v>
      </c>
      <c r="E247" s="281">
        <v>1000000000</v>
      </c>
      <c r="F247" s="276"/>
      <c r="G247" s="27">
        <f>G249</f>
        <v>1817813.83</v>
      </c>
      <c r="H247" s="27">
        <f t="shared" ref="H247:I247" si="134">H249</f>
        <v>1817813.83</v>
      </c>
      <c r="I247" s="27">
        <f t="shared" si="134"/>
        <v>1432801.16</v>
      </c>
      <c r="J247" s="207">
        <f t="shared" si="109"/>
        <v>78.820016459001181</v>
      </c>
      <c r="M247" s="295"/>
      <c r="N247" s="295"/>
      <c r="O247" s="295"/>
    </row>
    <row r="248" spans="1:15" x14ac:dyDescent="0.25">
      <c r="A248" s="276">
        <v>237</v>
      </c>
      <c r="B248" s="283" t="s">
        <v>252</v>
      </c>
      <c r="C248" s="281" t="s">
        <v>151</v>
      </c>
      <c r="D248" s="281" t="s">
        <v>106</v>
      </c>
      <c r="E248" s="281">
        <v>1040000000</v>
      </c>
      <c r="F248" s="276"/>
      <c r="G248" s="27">
        <f>G249</f>
        <v>1817813.83</v>
      </c>
      <c r="H248" s="27">
        <f t="shared" ref="H248:I248" si="135">H249</f>
        <v>1817813.83</v>
      </c>
      <c r="I248" s="27">
        <f t="shared" si="135"/>
        <v>1432801.16</v>
      </c>
      <c r="J248" s="207">
        <f t="shared" si="109"/>
        <v>78.820016459001181</v>
      </c>
      <c r="L248" s="46"/>
      <c r="M248" s="295"/>
      <c r="N248" s="295"/>
      <c r="O248" s="295"/>
    </row>
    <row r="249" spans="1:15" ht="45" x14ac:dyDescent="0.25">
      <c r="A249" s="276">
        <v>238</v>
      </c>
      <c r="B249" s="283" t="s">
        <v>449</v>
      </c>
      <c r="C249" s="281" t="s">
        <v>151</v>
      </c>
      <c r="D249" s="281" t="s">
        <v>106</v>
      </c>
      <c r="E249" s="281">
        <v>1040082240</v>
      </c>
      <c r="F249" s="276"/>
      <c r="G249" s="27">
        <f t="shared" ref="G249:I250" si="136">G250</f>
        <v>1817813.83</v>
      </c>
      <c r="H249" s="27">
        <f t="shared" si="136"/>
        <v>1817813.83</v>
      </c>
      <c r="I249" s="27">
        <f t="shared" si="136"/>
        <v>1432801.16</v>
      </c>
      <c r="J249" s="207">
        <f t="shared" si="109"/>
        <v>78.820016459001181</v>
      </c>
      <c r="L249" s="46"/>
      <c r="M249" s="295"/>
      <c r="N249" s="295"/>
      <c r="O249" s="295"/>
    </row>
    <row r="250" spans="1:15" x14ac:dyDescent="0.25">
      <c r="A250" s="276">
        <v>239</v>
      </c>
      <c r="B250" s="282" t="s">
        <v>19</v>
      </c>
      <c r="C250" s="281" t="s">
        <v>151</v>
      </c>
      <c r="D250" s="281" t="s">
        <v>106</v>
      </c>
      <c r="E250" s="281">
        <v>1040082240</v>
      </c>
      <c r="F250" s="276">
        <v>200</v>
      </c>
      <c r="G250" s="27">
        <f t="shared" si="136"/>
        <v>1817813.83</v>
      </c>
      <c r="H250" s="27">
        <f t="shared" si="136"/>
        <v>1817813.83</v>
      </c>
      <c r="I250" s="27">
        <f t="shared" si="136"/>
        <v>1432801.16</v>
      </c>
      <c r="J250" s="207">
        <f t="shared" si="109"/>
        <v>78.820016459001181</v>
      </c>
      <c r="L250" s="46"/>
      <c r="M250" s="295"/>
      <c r="N250" s="295"/>
      <c r="O250" s="295"/>
    </row>
    <row r="251" spans="1:15" x14ac:dyDescent="0.25">
      <c r="A251" s="276">
        <v>240</v>
      </c>
      <c r="B251" s="282" t="s">
        <v>20</v>
      </c>
      <c r="C251" s="281" t="s">
        <v>151</v>
      </c>
      <c r="D251" s="281" t="s">
        <v>106</v>
      </c>
      <c r="E251" s="281">
        <v>1040082240</v>
      </c>
      <c r="F251" s="276">
        <v>240</v>
      </c>
      <c r="G251" s="27">
        <f>1072400+596537.04+148876.79</f>
        <v>1817813.83</v>
      </c>
      <c r="H251" s="27">
        <v>1817813.83</v>
      </c>
      <c r="I251" s="146">
        <v>1432801.16</v>
      </c>
      <c r="J251" s="207">
        <f t="shared" si="109"/>
        <v>78.820016459001181</v>
      </c>
      <c r="L251" s="46"/>
      <c r="M251" s="295"/>
      <c r="N251" s="295"/>
      <c r="O251" s="295"/>
    </row>
    <row r="252" spans="1:15" x14ac:dyDescent="0.25">
      <c r="A252" s="276">
        <v>241</v>
      </c>
      <c r="B252" s="298" t="s">
        <v>46</v>
      </c>
      <c r="C252" s="281" t="s">
        <v>151</v>
      </c>
      <c r="D252" s="281" t="s">
        <v>107</v>
      </c>
      <c r="E252" s="281"/>
      <c r="F252" s="276"/>
      <c r="G252" s="27">
        <f>G253+G261</f>
        <v>4255640</v>
      </c>
      <c r="H252" s="27">
        <f t="shared" ref="H252:I252" si="137">H253+H261</f>
        <v>4255640</v>
      </c>
      <c r="I252" s="27">
        <f t="shared" si="137"/>
        <v>294427.84999999998</v>
      </c>
      <c r="J252" s="207">
        <f t="shared" si="109"/>
        <v>6.9185328176255503</v>
      </c>
      <c r="M252" s="295"/>
      <c r="N252" s="295"/>
      <c r="O252" s="295"/>
    </row>
    <row r="253" spans="1:15" ht="30" x14ac:dyDescent="0.25">
      <c r="A253" s="276">
        <v>242</v>
      </c>
      <c r="B253" s="299" t="s">
        <v>372</v>
      </c>
      <c r="C253" s="281" t="s">
        <v>151</v>
      </c>
      <c r="D253" s="281" t="s">
        <v>107</v>
      </c>
      <c r="E253" s="281" t="s">
        <v>178</v>
      </c>
      <c r="F253" s="276"/>
      <c r="G253" s="27">
        <f t="shared" ref="G253:I256" si="138">G254</f>
        <v>1368800</v>
      </c>
      <c r="H253" s="27">
        <f t="shared" si="138"/>
        <v>1368800</v>
      </c>
      <c r="I253" s="27">
        <f t="shared" si="138"/>
        <v>194427.85</v>
      </c>
      <c r="J253" s="207">
        <f t="shared" si="109"/>
        <v>14.204255552308592</v>
      </c>
      <c r="M253" s="295"/>
      <c r="N253" s="295"/>
      <c r="O253" s="295"/>
    </row>
    <row r="254" spans="1:15" ht="30" x14ac:dyDescent="0.25">
      <c r="A254" s="276">
        <v>243</v>
      </c>
      <c r="B254" s="279" t="s">
        <v>469</v>
      </c>
      <c r="C254" s="281" t="s">
        <v>151</v>
      </c>
      <c r="D254" s="281" t="s">
        <v>107</v>
      </c>
      <c r="E254" s="281" t="s">
        <v>377</v>
      </c>
      <c r="F254" s="276"/>
      <c r="G254" s="27">
        <f>G255+G258</f>
        <v>1368800</v>
      </c>
      <c r="H254" s="27">
        <f t="shared" ref="H254:I254" si="139">H255+H258</f>
        <v>1368800</v>
      </c>
      <c r="I254" s="27">
        <f t="shared" si="139"/>
        <v>194427.85</v>
      </c>
      <c r="J254" s="207">
        <f t="shared" si="109"/>
        <v>14.204255552308592</v>
      </c>
      <c r="M254" s="295"/>
      <c r="N254" s="295"/>
      <c r="O254" s="295"/>
    </row>
    <row r="255" spans="1:15" x14ac:dyDescent="0.25">
      <c r="A255" s="276">
        <v>244</v>
      </c>
      <c r="B255" s="277" t="s">
        <v>47</v>
      </c>
      <c r="C255" s="281" t="s">
        <v>151</v>
      </c>
      <c r="D255" s="281" t="s">
        <v>107</v>
      </c>
      <c r="E255" s="281" t="s">
        <v>380</v>
      </c>
      <c r="F255" s="276"/>
      <c r="G255" s="27">
        <f t="shared" si="138"/>
        <v>768800</v>
      </c>
      <c r="H255" s="27">
        <f t="shared" si="138"/>
        <v>768800</v>
      </c>
      <c r="I255" s="27">
        <f t="shared" si="138"/>
        <v>194427.85</v>
      </c>
      <c r="J255" s="207">
        <f t="shared" si="109"/>
        <v>25.289782778355878</v>
      </c>
      <c r="M255" s="295"/>
      <c r="N255" s="295"/>
      <c r="O255" s="295"/>
    </row>
    <row r="256" spans="1:15" x14ac:dyDescent="0.25">
      <c r="A256" s="276">
        <v>245</v>
      </c>
      <c r="B256" s="282" t="s">
        <v>31</v>
      </c>
      <c r="C256" s="281" t="s">
        <v>151</v>
      </c>
      <c r="D256" s="281" t="s">
        <v>107</v>
      </c>
      <c r="E256" s="281" t="s">
        <v>380</v>
      </c>
      <c r="F256" s="276">
        <v>800</v>
      </c>
      <c r="G256" s="27">
        <f t="shared" si="138"/>
        <v>768800</v>
      </c>
      <c r="H256" s="27">
        <f t="shared" si="138"/>
        <v>768800</v>
      </c>
      <c r="I256" s="27">
        <f t="shared" si="138"/>
        <v>194427.85</v>
      </c>
      <c r="J256" s="207">
        <f t="shared" si="109"/>
        <v>25.289782778355878</v>
      </c>
      <c r="M256" s="295"/>
      <c r="N256" s="295"/>
      <c r="O256" s="295"/>
    </row>
    <row r="257" spans="1:15" ht="30" x14ac:dyDescent="0.25">
      <c r="A257" s="276">
        <v>246</v>
      </c>
      <c r="B257" s="282" t="s">
        <v>44</v>
      </c>
      <c r="C257" s="281" t="s">
        <v>151</v>
      </c>
      <c r="D257" s="281" t="s">
        <v>107</v>
      </c>
      <c r="E257" s="281" t="s">
        <v>380</v>
      </c>
      <c r="F257" s="276">
        <v>810</v>
      </c>
      <c r="G257" s="27">
        <f>618800+150000</f>
        <v>768800</v>
      </c>
      <c r="H257" s="27">
        <f>618800+150000</f>
        <v>768800</v>
      </c>
      <c r="I257" s="146">
        <v>194427.85</v>
      </c>
      <c r="J257" s="207">
        <f t="shared" si="109"/>
        <v>25.289782778355878</v>
      </c>
      <c r="M257" s="295"/>
      <c r="N257" s="295"/>
      <c r="O257" s="295"/>
    </row>
    <row r="258" spans="1:15" ht="45" x14ac:dyDescent="0.25">
      <c r="A258" s="276">
        <v>247</v>
      </c>
      <c r="B258" s="283" t="s">
        <v>463</v>
      </c>
      <c r="C258" s="281" t="s">
        <v>151</v>
      </c>
      <c r="D258" s="281" t="s">
        <v>107</v>
      </c>
      <c r="E258" s="281" t="s">
        <v>459</v>
      </c>
      <c r="F258" s="276"/>
      <c r="G258" s="27">
        <f>G259</f>
        <v>600000</v>
      </c>
      <c r="H258" s="27">
        <f t="shared" ref="H258:I259" si="140">H259</f>
        <v>600000</v>
      </c>
      <c r="I258" s="27">
        <f t="shared" si="140"/>
        <v>0</v>
      </c>
      <c r="J258" s="207">
        <f t="shared" si="109"/>
        <v>0</v>
      </c>
      <c r="M258" s="295"/>
      <c r="N258" s="295"/>
      <c r="O258" s="295"/>
    </row>
    <row r="259" spans="1:15" x14ac:dyDescent="0.25">
      <c r="A259" s="276">
        <v>248</v>
      </c>
      <c r="B259" s="282" t="s">
        <v>31</v>
      </c>
      <c r="C259" s="281" t="s">
        <v>151</v>
      </c>
      <c r="D259" s="281" t="s">
        <v>107</v>
      </c>
      <c r="E259" s="281" t="s">
        <v>459</v>
      </c>
      <c r="F259" s="276">
        <v>800</v>
      </c>
      <c r="G259" s="27">
        <f>G260</f>
        <v>600000</v>
      </c>
      <c r="H259" s="27">
        <f t="shared" si="140"/>
        <v>600000</v>
      </c>
      <c r="I259" s="27">
        <f t="shared" si="140"/>
        <v>0</v>
      </c>
      <c r="J259" s="207">
        <f t="shared" si="109"/>
        <v>0</v>
      </c>
      <c r="M259" s="295"/>
      <c r="N259" s="295"/>
      <c r="O259" s="295"/>
    </row>
    <row r="260" spans="1:15" ht="30" x14ac:dyDescent="0.25">
      <c r="A260" s="276">
        <v>249</v>
      </c>
      <c r="B260" s="282" t="s">
        <v>44</v>
      </c>
      <c r="C260" s="281" t="s">
        <v>151</v>
      </c>
      <c r="D260" s="281" t="s">
        <v>107</v>
      </c>
      <c r="E260" s="281" t="s">
        <v>459</v>
      </c>
      <c r="F260" s="276">
        <v>810</v>
      </c>
      <c r="G260" s="27">
        <f>30000+570000</f>
        <v>600000</v>
      </c>
      <c r="H260" s="27">
        <v>600000</v>
      </c>
      <c r="I260" s="146">
        <v>0</v>
      </c>
      <c r="J260" s="207">
        <f t="shared" si="109"/>
        <v>0</v>
      </c>
      <c r="M260" s="295"/>
      <c r="N260" s="295"/>
      <c r="O260" s="295"/>
    </row>
    <row r="261" spans="1:15" ht="30" x14ac:dyDescent="0.25">
      <c r="A261" s="276">
        <v>250</v>
      </c>
      <c r="B261" s="74" t="s">
        <v>56</v>
      </c>
      <c r="C261" s="281" t="s">
        <v>151</v>
      </c>
      <c r="D261" s="281" t="s">
        <v>107</v>
      </c>
      <c r="E261" s="281" t="s">
        <v>460</v>
      </c>
      <c r="F261" s="276"/>
      <c r="G261" s="27">
        <f>G262</f>
        <v>2886840</v>
      </c>
      <c r="H261" s="27">
        <f t="shared" ref="H261:I261" si="141">H262</f>
        <v>2886840</v>
      </c>
      <c r="I261" s="27">
        <f t="shared" si="141"/>
        <v>100000</v>
      </c>
      <c r="J261" s="207">
        <f t="shared" si="109"/>
        <v>3.4639952335425583</v>
      </c>
      <c r="M261" s="295"/>
      <c r="N261" s="295"/>
      <c r="O261" s="295"/>
    </row>
    <row r="262" spans="1:15" ht="30" x14ac:dyDescent="0.25">
      <c r="A262" s="276">
        <v>251</v>
      </c>
      <c r="B262" s="282" t="s">
        <v>141</v>
      </c>
      <c r="C262" s="281" t="s">
        <v>151</v>
      </c>
      <c r="D262" s="281" t="s">
        <v>107</v>
      </c>
      <c r="E262" s="281" t="s">
        <v>481</v>
      </c>
      <c r="F262" s="276"/>
      <c r="G262" s="27">
        <f>G263+G266</f>
        <v>2886840</v>
      </c>
      <c r="H262" s="27">
        <f t="shared" ref="H262:I262" si="142">H263+H266</f>
        <v>2886840</v>
      </c>
      <c r="I262" s="27">
        <f t="shared" si="142"/>
        <v>100000</v>
      </c>
      <c r="J262" s="207">
        <f t="shared" si="109"/>
        <v>3.4639952335425583</v>
      </c>
      <c r="M262" s="295"/>
      <c r="N262" s="295"/>
      <c r="O262" s="295"/>
    </row>
    <row r="263" spans="1:15" ht="30" x14ac:dyDescent="0.25">
      <c r="A263" s="276">
        <v>252</v>
      </c>
      <c r="B263" s="282" t="s">
        <v>500</v>
      </c>
      <c r="C263" s="281" t="s">
        <v>151</v>
      </c>
      <c r="D263" s="281" t="s">
        <v>107</v>
      </c>
      <c r="E263" s="281" t="s">
        <v>482</v>
      </c>
      <c r="F263" s="276"/>
      <c r="G263" s="27">
        <f>G264</f>
        <v>2786840</v>
      </c>
      <c r="H263" s="27">
        <f t="shared" ref="H263:I264" si="143">H264</f>
        <v>2786840</v>
      </c>
      <c r="I263" s="27">
        <f t="shared" si="143"/>
        <v>0</v>
      </c>
      <c r="J263" s="207">
        <f t="shared" si="109"/>
        <v>0</v>
      </c>
      <c r="M263" s="295"/>
      <c r="N263" s="295"/>
      <c r="O263" s="295"/>
    </row>
    <row r="264" spans="1:15" x14ac:dyDescent="0.25">
      <c r="A264" s="276">
        <v>253</v>
      </c>
      <c r="B264" s="282" t="s">
        <v>19</v>
      </c>
      <c r="C264" s="281" t="s">
        <v>151</v>
      </c>
      <c r="D264" s="281" t="s">
        <v>107</v>
      </c>
      <c r="E264" s="281" t="s">
        <v>482</v>
      </c>
      <c r="F264" s="276">
        <v>200</v>
      </c>
      <c r="G264" s="27">
        <f>G265</f>
        <v>2786840</v>
      </c>
      <c r="H264" s="27">
        <f t="shared" si="143"/>
        <v>2786840</v>
      </c>
      <c r="I264" s="27">
        <f t="shared" si="143"/>
        <v>0</v>
      </c>
      <c r="J264" s="207">
        <f t="shared" si="109"/>
        <v>0</v>
      </c>
      <c r="M264" s="295"/>
      <c r="N264" s="295"/>
      <c r="O264" s="295"/>
    </row>
    <row r="265" spans="1:15" ht="48" customHeight="1" x14ac:dyDescent="0.25">
      <c r="A265" s="276">
        <v>254</v>
      </c>
      <c r="B265" s="282" t="s">
        <v>20</v>
      </c>
      <c r="C265" s="281" t="s">
        <v>151</v>
      </c>
      <c r="D265" s="281" t="s">
        <v>107</v>
      </c>
      <c r="E265" s="281" t="s">
        <v>482</v>
      </c>
      <c r="F265" s="276">
        <v>240</v>
      </c>
      <c r="G265" s="27">
        <f>1261250-1261250+2786840</f>
        <v>2786840</v>
      </c>
      <c r="H265" s="27">
        <v>2786840</v>
      </c>
      <c r="I265" s="146">
        <v>0</v>
      </c>
      <c r="J265" s="207">
        <f t="shared" si="109"/>
        <v>0</v>
      </c>
      <c r="M265" s="295"/>
      <c r="N265" s="295"/>
      <c r="O265" s="295"/>
    </row>
    <row r="266" spans="1:15" ht="121.5" customHeight="1" x14ac:dyDescent="0.25">
      <c r="A266" s="276">
        <v>255</v>
      </c>
      <c r="B266" s="305" t="s">
        <v>568</v>
      </c>
      <c r="C266" s="281" t="s">
        <v>151</v>
      </c>
      <c r="D266" s="281" t="s">
        <v>107</v>
      </c>
      <c r="E266" s="281" t="s">
        <v>569</v>
      </c>
      <c r="F266" s="276"/>
      <c r="G266" s="27">
        <f>G267</f>
        <v>100000</v>
      </c>
      <c r="H266" s="27">
        <f t="shared" ref="H266:I267" si="144">H267</f>
        <v>100000</v>
      </c>
      <c r="I266" s="27">
        <f t="shared" si="144"/>
        <v>100000</v>
      </c>
      <c r="J266" s="207">
        <f t="shared" si="109"/>
        <v>100</v>
      </c>
      <c r="M266" s="295"/>
      <c r="N266" s="295"/>
      <c r="O266" s="295"/>
    </row>
    <row r="267" spans="1:15" x14ac:dyDescent="0.25">
      <c r="A267" s="276">
        <v>256</v>
      </c>
      <c r="B267" s="282" t="s">
        <v>508</v>
      </c>
      <c r="C267" s="281" t="s">
        <v>151</v>
      </c>
      <c r="D267" s="281" t="s">
        <v>107</v>
      </c>
      <c r="E267" s="281" t="s">
        <v>569</v>
      </c>
      <c r="F267" s="276">
        <v>200</v>
      </c>
      <c r="G267" s="27">
        <f>G268</f>
        <v>100000</v>
      </c>
      <c r="H267" s="27">
        <f t="shared" si="144"/>
        <v>100000</v>
      </c>
      <c r="I267" s="27">
        <f t="shared" si="144"/>
        <v>100000</v>
      </c>
      <c r="J267" s="207">
        <f t="shared" si="109"/>
        <v>100</v>
      </c>
      <c r="M267" s="295"/>
      <c r="N267" s="295"/>
      <c r="O267" s="295"/>
    </row>
    <row r="268" spans="1:15" x14ac:dyDescent="0.25">
      <c r="A268" s="276">
        <v>257</v>
      </c>
      <c r="B268" s="282" t="s">
        <v>509</v>
      </c>
      <c r="C268" s="281" t="s">
        <v>151</v>
      </c>
      <c r="D268" s="281" t="s">
        <v>107</v>
      </c>
      <c r="E268" s="281" t="s">
        <v>569</v>
      </c>
      <c r="F268" s="276">
        <v>240</v>
      </c>
      <c r="G268" s="27">
        <f>100000</f>
        <v>100000</v>
      </c>
      <c r="H268" s="27">
        <v>100000</v>
      </c>
      <c r="I268" s="146">
        <v>100000</v>
      </c>
      <c r="J268" s="207">
        <f t="shared" si="109"/>
        <v>100</v>
      </c>
      <c r="M268" s="295"/>
      <c r="N268" s="295"/>
      <c r="O268" s="295"/>
    </row>
    <row r="269" spans="1:15" x14ac:dyDescent="0.25">
      <c r="A269" s="276">
        <v>258</v>
      </c>
      <c r="B269" s="298" t="s">
        <v>108</v>
      </c>
      <c r="C269" s="281" t="s">
        <v>151</v>
      </c>
      <c r="D269" s="281" t="s">
        <v>109</v>
      </c>
      <c r="E269" s="281"/>
      <c r="F269" s="276"/>
      <c r="G269" s="27">
        <f>G278+G270</f>
        <v>78921900</v>
      </c>
      <c r="H269" s="27">
        <f t="shared" ref="H269:I269" si="145">H278+H270</f>
        <v>78921900</v>
      </c>
      <c r="I269" s="27">
        <f t="shared" si="145"/>
        <v>78161655.819999993</v>
      </c>
      <c r="J269" s="207">
        <f t="shared" ref="J269:J332" si="146">I269/H269*100</f>
        <v>99.036713282371551</v>
      </c>
      <c r="M269" s="295"/>
      <c r="N269" s="295"/>
      <c r="O269" s="295"/>
    </row>
    <row r="270" spans="1:15" x14ac:dyDescent="0.25">
      <c r="A270" s="276">
        <v>259</v>
      </c>
      <c r="B270" s="298" t="s">
        <v>367</v>
      </c>
      <c r="C270" s="281" t="s">
        <v>151</v>
      </c>
      <c r="D270" s="281" t="s">
        <v>368</v>
      </c>
      <c r="E270" s="281"/>
      <c r="F270" s="276"/>
      <c r="G270" s="27">
        <f t="shared" ref="G270:I274" si="147">G271</f>
        <v>190300</v>
      </c>
      <c r="H270" s="27">
        <f t="shared" si="147"/>
        <v>190300</v>
      </c>
      <c r="I270" s="27">
        <f t="shared" si="147"/>
        <v>187046.47</v>
      </c>
      <c r="J270" s="207">
        <f t="shared" si="146"/>
        <v>98.290315291644774</v>
      </c>
      <c r="M270" s="295"/>
      <c r="N270" s="295"/>
      <c r="O270" s="295"/>
    </row>
    <row r="271" spans="1:15" ht="30" x14ac:dyDescent="0.25">
      <c r="A271" s="276">
        <v>260</v>
      </c>
      <c r="B271" s="74" t="s">
        <v>56</v>
      </c>
      <c r="C271" s="281" t="s">
        <v>151</v>
      </c>
      <c r="D271" s="281" t="s">
        <v>368</v>
      </c>
      <c r="E271" s="281">
        <v>1100000000</v>
      </c>
      <c r="F271" s="276"/>
      <c r="G271" s="27">
        <f t="shared" si="147"/>
        <v>190300</v>
      </c>
      <c r="H271" s="27">
        <f t="shared" si="147"/>
        <v>190300</v>
      </c>
      <c r="I271" s="27">
        <f t="shared" si="147"/>
        <v>187046.47</v>
      </c>
      <c r="J271" s="207">
        <f t="shared" si="146"/>
        <v>98.290315291644774</v>
      </c>
      <c r="M271" s="295"/>
      <c r="N271" s="295"/>
      <c r="O271" s="295"/>
    </row>
    <row r="272" spans="1:15" ht="45" x14ac:dyDescent="0.25">
      <c r="A272" s="276">
        <v>261</v>
      </c>
      <c r="B272" s="277" t="s">
        <v>468</v>
      </c>
      <c r="C272" s="281" t="s">
        <v>151</v>
      </c>
      <c r="D272" s="281" t="s">
        <v>368</v>
      </c>
      <c r="E272" s="281">
        <v>1140000000</v>
      </c>
      <c r="F272" s="276"/>
      <c r="G272" s="27">
        <f>G273</f>
        <v>190300</v>
      </c>
      <c r="H272" s="27">
        <f t="shared" si="147"/>
        <v>190300</v>
      </c>
      <c r="I272" s="27">
        <f t="shared" si="147"/>
        <v>187046.47</v>
      </c>
      <c r="J272" s="207">
        <f t="shared" si="146"/>
        <v>98.290315291644774</v>
      </c>
      <c r="M272" s="295"/>
      <c r="N272" s="295"/>
      <c r="O272" s="295"/>
    </row>
    <row r="273" spans="1:15" x14ac:dyDescent="0.25">
      <c r="A273" s="276">
        <v>262</v>
      </c>
      <c r="B273" s="277" t="s">
        <v>382</v>
      </c>
      <c r="C273" s="281" t="s">
        <v>151</v>
      </c>
      <c r="D273" s="281" t="s">
        <v>368</v>
      </c>
      <c r="E273" s="281">
        <v>1140092030</v>
      </c>
      <c r="F273" s="276"/>
      <c r="G273" s="27">
        <f>G274+G276</f>
        <v>190300</v>
      </c>
      <c r="H273" s="27">
        <f t="shared" ref="H273:I273" si="148">H274+H276</f>
        <v>190300</v>
      </c>
      <c r="I273" s="27">
        <f t="shared" si="148"/>
        <v>187046.47</v>
      </c>
      <c r="J273" s="207">
        <f t="shared" si="146"/>
        <v>98.290315291644774</v>
      </c>
      <c r="M273" s="295"/>
      <c r="N273" s="295"/>
      <c r="O273" s="295"/>
    </row>
    <row r="274" spans="1:15" x14ac:dyDescent="0.25">
      <c r="A274" s="276">
        <v>263</v>
      </c>
      <c r="B274" s="282" t="s">
        <v>19</v>
      </c>
      <c r="C274" s="281" t="s">
        <v>151</v>
      </c>
      <c r="D274" s="281" t="s">
        <v>368</v>
      </c>
      <c r="E274" s="281">
        <v>1140092030</v>
      </c>
      <c r="F274" s="276">
        <v>200</v>
      </c>
      <c r="G274" s="27">
        <f t="shared" si="147"/>
        <v>189300</v>
      </c>
      <c r="H274" s="27">
        <f t="shared" si="147"/>
        <v>189300</v>
      </c>
      <c r="I274" s="27">
        <f t="shared" si="147"/>
        <v>187046.47</v>
      </c>
      <c r="J274" s="207">
        <f t="shared" si="146"/>
        <v>98.809545694664564</v>
      </c>
      <c r="M274" s="295"/>
      <c r="N274" s="295"/>
      <c r="O274" s="295"/>
    </row>
    <row r="275" spans="1:15" x14ac:dyDescent="0.25">
      <c r="A275" s="276">
        <v>264</v>
      </c>
      <c r="B275" s="282" t="s">
        <v>20</v>
      </c>
      <c r="C275" s="281" t="s">
        <v>151</v>
      </c>
      <c r="D275" s="281" t="s">
        <v>368</v>
      </c>
      <c r="E275" s="281">
        <v>1140092030</v>
      </c>
      <c r="F275" s="276">
        <v>240</v>
      </c>
      <c r="G275" s="27">
        <f>179840+9460</f>
        <v>189300</v>
      </c>
      <c r="H275" s="27">
        <v>189300</v>
      </c>
      <c r="I275" s="146">
        <v>187046.47</v>
      </c>
      <c r="J275" s="207">
        <f t="shared" si="146"/>
        <v>98.809545694664564</v>
      </c>
      <c r="M275" s="295"/>
      <c r="N275" s="295"/>
      <c r="O275" s="295"/>
    </row>
    <row r="276" spans="1:15" x14ac:dyDescent="0.25">
      <c r="A276" s="276">
        <v>265</v>
      </c>
      <c r="B276" s="282" t="s">
        <v>31</v>
      </c>
      <c r="C276" s="281" t="s">
        <v>151</v>
      </c>
      <c r="D276" s="281" t="s">
        <v>368</v>
      </c>
      <c r="E276" s="281">
        <v>1140092030</v>
      </c>
      <c r="F276" s="276">
        <v>800</v>
      </c>
      <c r="G276" s="27">
        <f>G277</f>
        <v>1000</v>
      </c>
      <c r="H276" s="27">
        <f t="shared" ref="H276:I276" si="149">H277</f>
        <v>1000</v>
      </c>
      <c r="I276" s="27">
        <f t="shared" si="149"/>
        <v>0</v>
      </c>
      <c r="J276" s="207">
        <f t="shared" si="146"/>
        <v>0</v>
      </c>
      <c r="M276" s="295"/>
      <c r="N276" s="295"/>
      <c r="O276" s="295"/>
    </row>
    <row r="277" spans="1:15" x14ac:dyDescent="0.25">
      <c r="A277" s="276">
        <v>266</v>
      </c>
      <c r="B277" s="282" t="s">
        <v>79</v>
      </c>
      <c r="C277" s="281" t="s">
        <v>151</v>
      </c>
      <c r="D277" s="281" t="s">
        <v>368</v>
      </c>
      <c r="E277" s="281">
        <v>1140092030</v>
      </c>
      <c r="F277" s="276">
        <v>850</v>
      </c>
      <c r="G277" s="27">
        <f>10460-9460</f>
        <v>1000</v>
      </c>
      <c r="H277" s="27">
        <v>1000</v>
      </c>
      <c r="I277" s="146">
        <v>0</v>
      </c>
      <c r="J277" s="207">
        <f t="shared" si="146"/>
        <v>0</v>
      </c>
      <c r="M277" s="295"/>
      <c r="N277" s="295"/>
      <c r="O277" s="295"/>
    </row>
    <row r="278" spans="1:15" x14ac:dyDescent="0.25">
      <c r="A278" s="276">
        <v>267</v>
      </c>
      <c r="B278" s="277" t="s">
        <v>50</v>
      </c>
      <c r="C278" s="281" t="s">
        <v>151</v>
      </c>
      <c r="D278" s="281" t="s">
        <v>111</v>
      </c>
      <c r="E278" s="281"/>
      <c r="F278" s="276"/>
      <c r="G278" s="27">
        <f>G279</f>
        <v>78731600</v>
      </c>
      <c r="H278" s="27">
        <f t="shared" ref="H278:I278" si="150">H279</f>
        <v>78731600</v>
      </c>
      <c r="I278" s="27">
        <f t="shared" si="150"/>
        <v>77974609.349999994</v>
      </c>
      <c r="J278" s="207">
        <f t="shared" si="146"/>
        <v>99.038517380568919</v>
      </c>
      <c r="M278" s="295"/>
      <c r="N278" s="295"/>
      <c r="O278" s="295"/>
    </row>
    <row r="279" spans="1:15" ht="30" x14ac:dyDescent="0.25">
      <c r="A279" s="276">
        <v>268</v>
      </c>
      <c r="B279" s="277" t="s">
        <v>51</v>
      </c>
      <c r="C279" s="281" t="s">
        <v>151</v>
      </c>
      <c r="D279" s="281" t="s">
        <v>111</v>
      </c>
      <c r="E279" s="281" t="s">
        <v>169</v>
      </c>
      <c r="F279" s="276"/>
      <c r="G279" s="27">
        <f t="shared" ref="G279:I279" si="151">G280</f>
        <v>78731600</v>
      </c>
      <c r="H279" s="27">
        <f t="shared" si="151"/>
        <v>78731600</v>
      </c>
      <c r="I279" s="27">
        <f t="shared" si="151"/>
        <v>77974609.349999994</v>
      </c>
      <c r="J279" s="207">
        <f t="shared" si="146"/>
        <v>99.038517380568919</v>
      </c>
      <c r="M279" s="295"/>
      <c r="N279" s="295"/>
      <c r="O279" s="295"/>
    </row>
    <row r="280" spans="1:15" x14ac:dyDescent="0.25">
      <c r="A280" s="276">
        <v>269</v>
      </c>
      <c r="B280" s="31" t="s">
        <v>38</v>
      </c>
      <c r="C280" s="281" t="s">
        <v>151</v>
      </c>
      <c r="D280" s="281" t="s">
        <v>111</v>
      </c>
      <c r="E280" s="281" t="s">
        <v>179</v>
      </c>
      <c r="F280" s="276"/>
      <c r="G280" s="27">
        <f t="shared" ref="G280:H280" si="152">G281+G284</f>
        <v>78731600</v>
      </c>
      <c r="H280" s="27">
        <f t="shared" si="152"/>
        <v>78731600</v>
      </c>
      <c r="I280" s="27">
        <f t="shared" ref="I280" si="153">I281+I284</f>
        <v>77974609.349999994</v>
      </c>
      <c r="J280" s="207">
        <f t="shared" si="146"/>
        <v>99.038517380568919</v>
      </c>
      <c r="M280" s="295"/>
      <c r="N280" s="295"/>
      <c r="O280" s="295"/>
    </row>
    <row r="281" spans="1:15" ht="45" x14ac:dyDescent="0.25">
      <c r="A281" s="276">
        <v>270</v>
      </c>
      <c r="B281" s="279" t="s">
        <v>283</v>
      </c>
      <c r="C281" s="281" t="s">
        <v>151</v>
      </c>
      <c r="D281" s="281" t="s">
        <v>111</v>
      </c>
      <c r="E281" s="281" t="s">
        <v>180</v>
      </c>
      <c r="F281" s="276"/>
      <c r="G281" s="27">
        <f t="shared" ref="G281:I282" si="154">G282</f>
        <v>29823400</v>
      </c>
      <c r="H281" s="27">
        <f t="shared" si="154"/>
        <v>29823400</v>
      </c>
      <c r="I281" s="27">
        <f t="shared" si="154"/>
        <v>29823400</v>
      </c>
      <c r="J281" s="207">
        <f t="shared" si="146"/>
        <v>100</v>
      </c>
      <c r="M281" s="306"/>
      <c r="N281" s="148"/>
      <c r="O281" s="148"/>
    </row>
    <row r="282" spans="1:15" x14ac:dyDescent="0.25">
      <c r="A282" s="276">
        <v>271</v>
      </c>
      <c r="B282" s="282" t="s">
        <v>31</v>
      </c>
      <c r="C282" s="281" t="s">
        <v>151</v>
      </c>
      <c r="D282" s="281" t="s">
        <v>111</v>
      </c>
      <c r="E282" s="281" t="s">
        <v>180</v>
      </c>
      <c r="F282" s="276">
        <v>800</v>
      </c>
      <c r="G282" s="27">
        <f t="shared" si="154"/>
        <v>29823400</v>
      </c>
      <c r="H282" s="27">
        <f t="shared" si="154"/>
        <v>29823400</v>
      </c>
      <c r="I282" s="27">
        <f t="shared" si="154"/>
        <v>29823400</v>
      </c>
      <c r="J282" s="207">
        <f t="shared" si="146"/>
        <v>100</v>
      </c>
      <c r="M282" s="295"/>
      <c r="N282" s="295"/>
      <c r="O282" s="295"/>
    </row>
    <row r="283" spans="1:15" ht="30" x14ac:dyDescent="0.25">
      <c r="A283" s="276">
        <v>272</v>
      </c>
      <c r="B283" s="282" t="s">
        <v>44</v>
      </c>
      <c r="C283" s="281" t="s">
        <v>151</v>
      </c>
      <c r="D283" s="281" t="s">
        <v>111</v>
      </c>
      <c r="E283" s="281" t="s">
        <v>180</v>
      </c>
      <c r="F283" s="276">
        <v>810</v>
      </c>
      <c r="G283" s="30">
        <f>28196600+1626800</f>
        <v>29823400</v>
      </c>
      <c r="H283" s="27">
        <v>29823400</v>
      </c>
      <c r="I283" s="146">
        <v>29823400</v>
      </c>
      <c r="J283" s="207">
        <f t="shared" si="146"/>
        <v>100</v>
      </c>
      <c r="M283" s="295"/>
      <c r="N283" s="295"/>
      <c r="O283" s="295"/>
    </row>
    <row r="284" spans="1:15" ht="39" customHeight="1" x14ac:dyDescent="0.25">
      <c r="A284" s="276">
        <v>273</v>
      </c>
      <c r="B284" s="279" t="s">
        <v>266</v>
      </c>
      <c r="C284" s="281" t="s">
        <v>151</v>
      </c>
      <c r="D284" s="281" t="s">
        <v>111</v>
      </c>
      <c r="E284" s="281" t="s">
        <v>181</v>
      </c>
      <c r="F284" s="276"/>
      <c r="G284" s="27">
        <f t="shared" ref="G284:I285" si="155">G285</f>
        <v>48908200</v>
      </c>
      <c r="H284" s="27">
        <f t="shared" si="155"/>
        <v>48908200</v>
      </c>
      <c r="I284" s="27">
        <f t="shared" si="155"/>
        <v>48151209.350000001</v>
      </c>
      <c r="J284" s="207">
        <f t="shared" si="146"/>
        <v>98.452221406635289</v>
      </c>
      <c r="M284" s="295"/>
      <c r="N284" s="295"/>
      <c r="O284" s="295"/>
    </row>
    <row r="285" spans="1:15" x14ac:dyDescent="0.25">
      <c r="A285" s="276">
        <v>274</v>
      </c>
      <c r="B285" s="282" t="s">
        <v>31</v>
      </c>
      <c r="C285" s="281" t="s">
        <v>151</v>
      </c>
      <c r="D285" s="281" t="s">
        <v>111</v>
      </c>
      <c r="E285" s="281" t="s">
        <v>181</v>
      </c>
      <c r="F285" s="276">
        <v>800</v>
      </c>
      <c r="G285" s="27">
        <f t="shared" si="155"/>
        <v>48908200</v>
      </c>
      <c r="H285" s="27">
        <f t="shared" si="155"/>
        <v>48908200</v>
      </c>
      <c r="I285" s="27">
        <f t="shared" si="155"/>
        <v>48151209.350000001</v>
      </c>
      <c r="J285" s="207">
        <f t="shared" si="146"/>
        <v>98.452221406635289</v>
      </c>
      <c r="M285" s="295"/>
      <c r="N285" s="295"/>
      <c r="O285" s="295"/>
    </row>
    <row r="286" spans="1:15" ht="30" x14ac:dyDescent="0.25">
      <c r="A286" s="276">
        <v>275</v>
      </c>
      <c r="B286" s="282" t="s">
        <v>44</v>
      </c>
      <c r="C286" s="281" t="s">
        <v>151</v>
      </c>
      <c r="D286" s="281" t="s">
        <v>111</v>
      </c>
      <c r="E286" s="281" t="s">
        <v>181</v>
      </c>
      <c r="F286" s="276">
        <v>810</v>
      </c>
      <c r="G286" s="30">
        <f>44554300+4000000+353900</f>
        <v>48908200</v>
      </c>
      <c r="H286" s="30">
        <v>48908200</v>
      </c>
      <c r="I286" s="146">
        <v>48151209.350000001</v>
      </c>
      <c r="J286" s="207">
        <f t="shared" si="146"/>
        <v>98.452221406635289</v>
      </c>
      <c r="M286" s="295"/>
      <c r="N286" s="295"/>
      <c r="O286" s="295"/>
    </row>
    <row r="287" spans="1:15" x14ac:dyDescent="0.25">
      <c r="A287" s="276">
        <v>276</v>
      </c>
      <c r="B287" s="283" t="s">
        <v>407</v>
      </c>
      <c r="C287" s="281" t="s">
        <v>151</v>
      </c>
      <c r="D287" s="281" t="s">
        <v>408</v>
      </c>
      <c r="E287" s="281"/>
      <c r="F287" s="276"/>
      <c r="G287" s="30">
        <f>G288+G296</f>
        <v>3096800</v>
      </c>
      <c r="H287" s="30">
        <f t="shared" ref="H287:I287" si="156">H288+H296</f>
        <v>3096800</v>
      </c>
      <c r="I287" s="30">
        <f t="shared" si="156"/>
        <v>594179.12</v>
      </c>
      <c r="J287" s="207">
        <f t="shared" si="146"/>
        <v>19.186874192715063</v>
      </c>
      <c r="M287" s="295"/>
      <c r="N287" s="295"/>
      <c r="O287" s="295"/>
    </row>
    <row r="288" spans="1:15" x14ac:dyDescent="0.25">
      <c r="A288" s="276">
        <v>277</v>
      </c>
      <c r="B288" s="283" t="s">
        <v>411</v>
      </c>
      <c r="C288" s="281" t="s">
        <v>151</v>
      </c>
      <c r="D288" s="281" t="s">
        <v>409</v>
      </c>
      <c r="E288" s="281"/>
      <c r="F288" s="276"/>
      <c r="G288" s="30">
        <f t="shared" ref="G288:I289" si="157">G289</f>
        <v>596800</v>
      </c>
      <c r="H288" s="30">
        <f t="shared" si="157"/>
        <v>596800</v>
      </c>
      <c r="I288" s="30">
        <f t="shared" si="157"/>
        <v>594179.12</v>
      </c>
      <c r="J288" s="207">
        <f t="shared" si="146"/>
        <v>99.560844504021446</v>
      </c>
      <c r="M288" s="295"/>
      <c r="N288" s="295"/>
      <c r="O288" s="295"/>
    </row>
    <row r="289" spans="1:15" ht="30" x14ac:dyDescent="0.25">
      <c r="A289" s="276">
        <v>278</v>
      </c>
      <c r="B289" s="299" t="s">
        <v>476</v>
      </c>
      <c r="C289" s="281" t="s">
        <v>151</v>
      </c>
      <c r="D289" s="281" t="s">
        <v>409</v>
      </c>
      <c r="E289" s="281" t="s">
        <v>477</v>
      </c>
      <c r="F289" s="276"/>
      <c r="G289" s="27">
        <f>G290</f>
        <v>596800</v>
      </c>
      <c r="H289" s="27">
        <f t="shared" si="157"/>
        <v>596800</v>
      </c>
      <c r="I289" s="27">
        <f t="shared" si="157"/>
        <v>594179.12</v>
      </c>
      <c r="J289" s="207">
        <f t="shared" si="146"/>
        <v>99.560844504021446</v>
      </c>
      <c r="M289" s="295"/>
      <c r="N289" s="295"/>
      <c r="O289" s="295"/>
    </row>
    <row r="290" spans="1:15" ht="30" x14ac:dyDescent="0.25">
      <c r="A290" s="276">
        <v>279</v>
      </c>
      <c r="B290" s="299" t="s">
        <v>478</v>
      </c>
      <c r="C290" s="281" t="s">
        <v>151</v>
      </c>
      <c r="D290" s="281" t="s">
        <v>409</v>
      </c>
      <c r="E290" s="281" t="s">
        <v>479</v>
      </c>
      <c r="F290" s="276"/>
      <c r="G290" s="27">
        <f t="shared" ref="G290:I294" si="158">G291</f>
        <v>596800</v>
      </c>
      <c r="H290" s="27">
        <f t="shared" si="158"/>
        <v>596800</v>
      </c>
      <c r="I290" s="27">
        <f t="shared" si="158"/>
        <v>594179.12</v>
      </c>
      <c r="J290" s="207">
        <f t="shared" si="146"/>
        <v>99.560844504021446</v>
      </c>
      <c r="M290" s="295"/>
      <c r="N290" s="295"/>
      <c r="O290" s="295"/>
    </row>
    <row r="291" spans="1:15" ht="84" customHeight="1" x14ac:dyDescent="0.25">
      <c r="A291" s="276">
        <v>280</v>
      </c>
      <c r="B291" s="279" t="s">
        <v>566</v>
      </c>
      <c r="C291" s="281" t="s">
        <v>151</v>
      </c>
      <c r="D291" s="281" t="s">
        <v>409</v>
      </c>
      <c r="E291" s="281" t="s">
        <v>480</v>
      </c>
      <c r="F291" s="276"/>
      <c r="G291" s="27">
        <f t="shared" ref="G291:H291" si="159">G292+G294</f>
        <v>596800</v>
      </c>
      <c r="H291" s="27">
        <f t="shared" si="159"/>
        <v>596800</v>
      </c>
      <c r="I291" s="27">
        <f t="shared" ref="I291" si="160">I292+I294</f>
        <v>594179.12</v>
      </c>
      <c r="J291" s="207">
        <f t="shared" si="146"/>
        <v>99.560844504021446</v>
      </c>
      <c r="M291" s="295"/>
      <c r="N291" s="295"/>
      <c r="O291" s="295"/>
    </row>
    <row r="292" spans="1:15" ht="45" x14ac:dyDescent="0.25">
      <c r="A292" s="276">
        <v>281</v>
      </c>
      <c r="B292" s="282" t="s">
        <v>14</v>
      </c>
      <c r="C292" s="281" t="s">
        <v>151</v>
      </c>
      <c r="D292" s="281" t="s">
        <v>409</v>
      </c>
      <c r="E292" s="281" t="s">
        <v>480</v>
      </c>
      <c r="F292" s="276">
        <v>100</v>
      </c>
      <c r="G292" s="27">
        <f t="shared" ref="G292:I292" si="161">G293</f>
        <v>104234</v>
      </c>
      <c r="H292" s="27">
        <f t="shared" si="161"/>
        <v>104234</v>
      </c>
      <c r="I292" s="27">
        <f t="shared" si="161"/>
        <v>102420.9</v>
      </c>
      <c r="J292" s="207">
        <f t="shared" si="146"/>
        <v>98.260548381526178</v>
      </c>
      <c r="M292" s="295"/>
      <c r="N292" s="295"/>
      <c r="O292" s="295"/>
    </row>
    <row r="293" spans="1:15" x14ac:dyDescent="0.25">
      <c r="A293" s="276">
        <v>282</v>
      </c>
      <c r="B293" s="282" t="s">
        <v>15</v>
      </c>
      <c r="C293" s="281" t="s">
        <v>151</v>
      </c>
      <c r="D293" s="281" t="s">
        <v>409</v>
      </c>
      <c r="E293" s="281" t="s">
        <v>480</v>
      </c>
      <c r="F293" s="276">
        <v>120</v>
      </c>
      <c r="G293" s="27">
        <f>95835+8400-1</f>
        <v>104234</v>
      </c>
      <c r="H293" s="27">
        <v>104234</v>
      </c>
      <c r="I293" s="146">
        <v>102420.9</v>
      </c>
      <c r="J293" s="207">
        <f t="shared" si="146"/>
        <v>98.260548381526178</v>
      </c>
      <c r="M293" s="295"/>
      <c r="N293" s="295"/>
      <c r="O293" s="295"/>
    </row>
    <row r="294" spans="1:15" x14ac:dyDescent="0.25">
      <c r="A294" s="276">
        <v>283</v>
      </c>
      <c r="B294" s="282" t="s">
        <v>19</v>
      </c>
      <c r="C294" s="281" t="s">
        <v>151</v>
      </c>
      <c r="D294" s="281" t="s">
        <v>409</v>
      </c>
      <c r="E294" s="281" t="s">
        <v>480</v>
      </c>
      <c r="F294" s="276">
        <v>200</v>
      </c>
      <c r="G294" s="27">
        <f t="shared" si="158"/>
        <v>492566</v>
      </c>
      <c r="H294" s="27">
        <f t="shared" si="158"/>
        <v>492566</v>
      </c>
      <c r="I294" s="27">
        <f t="shared" si="158"/>
        <v>491758.22</v>
      </c>
      <c r="J294" s="207">
        <f t="shared" si="146"/>
        <v>99.836005733241834</v>
      </c>
      <c r="M294" s="295"/>
      <c r="N294" s="295"/>
      <c r="O294" s="295"/>
    </row>
    <row r="295" spans="1:15" x14ac:dyDescent="0.25">
      <c r="A295" s="276">
        <v>284</v>
      </c>
      <c r="B295" s="282" t="s">
        <v>20</v>
      </c>
      <c r="C295" s="281" t="s">
        <v>151</v>
      </c>
      <c r="D295" s="281" t="s">
        <v>409</v>
      </c>
      <c r="E295" s="281" t="s">
        <v>480</v>
      </c>
      <c r="F295" s="276">
        <v>240</v>
      </c>
      <c r="G295" s="27">
        <f>492565+1</f>
        <v>492566</v>
      </c>
      <c r="H295" s="27">
        <v>492566</v>
      </c>
      <c r="I295" s="146">
        <v>491758.22</v>
      </c>
      <c r="J295" s="207">
        <f t="shared" si="146"/>
        <v>99.836005733241834</v>
      </c>
      <c r="M295" s="295"/>
      <c r="N295" s="295"/>
      <c r="O295" s="295"/>
    </row>
    <row r="296" spans="1:15" x14ac:dyDescent="0.25">
      <c r="A296" s="276">
        <v>285</v>
      </c>
      <c r="B296" s="120" t="s">
        <v>414</v>
      </c>
      <c r="C296" s="281" t="s">
        <v>151</v>
      </c>
      <c r="D296" s="281" t="s">
        <v>415</v>
      </c>
      <c r="E296" s="281"/>
      <c r="F296" s="276"/>
      <c r="G296" s="27">
        <f>G297</f>
        <v>2500000</v>
      </c>
      <c r="H296" s="27">
        <f t="shared" ref="H296:I296" si="162">H297</f>
        <v>2500000</v>
      </c>
      <c r="I296" s="27">
        <f t="shared" si="162"/>
        <v>0</v>
      </c>
      <c r="J296" s="207">
        <f t="shared" si="146"/>
        <v>0</v>
      </c>
      <c r="M296" s="295"/>
      <c r="N296" s="295"/>
      <c r="O296" s="295"/>
    </row>
    <row r="297" spans="1:15" ht="78" customHeight="1" x14ac:dyDescent="0.25">
      <c r="A297" s="276">
        <v>286</v>
      </c>
      <c r="B297" s="282" t="s">
        <v>565</v>
      </c>
      <c r="C297" s="281" t="s">
        <v>151</v>
      </c>
      <c r="D297" s="281" t="s">
        <v>415</v>
      </c>
      <c r="E297" s="281" t="s">
        <v>501</v>
      </c>
      <c r="F297" s="276"/>
      <c r="G297" s="27">
        <f>G298</f>
        <v>2500000</v>
      </c>
      <c r="H297" s="27">
        <f t="shared" ref="H297:I298" si="163">H298</f>
        <v>2500000</v>
      </c>
      <c r="I297" s="27">
        <f t="shared" si="163"/>
        <v>0</v>
      </c>
      <c r="J297" s="207">
        <f t="shared" si="146"/>
        <v>0</v>
      </c>
      <c r="M297" s="295"/>
      <c r="N297" s="295"/>
      <c r="O297" s="295"/>
    </row>
    <row r="298" spans="1:15" x14ac:dyDescent="0.25">
      <c r="A298" s="276">
        <v>287</v>
      </c>
      <c r="B298" s="282" t="s">
        <v>19</v>
      </c>
      <c r="C298" s="281" t="s">
        <v>151</v>
      </c>
      <c r="D298" s="281" t="s">
        <v>415</v>
      </c>
      <c r="E298" s="281" t="s">
        <v>501</v>
      </c>
      <c r="F298" s="276">
        <v>200</v>
      </c>
      <c r="G298" s="27">
        <f>G299</f>
        <v>2500000</v>
      </c>
      <c r="H298" s="27">
        <f t="shared" si="163"/>
        <v>2500000</v>
      </c>
      <c r="I298" s="27">
        <f t="shared" si="163"/>
        <v>0</v>
      </c>
      <c r="J298" s="207">
        <f t="shared" si="146"/>
        <v>0</v>
      </c>
      <c r="M298" s="295"/>
      <c r="N298" s="295"/>
      <c r="O298" s="295"/>
    </row>
    <row r="299" spans="1:15" x14ac:dyDescent="0.25">
      <c r="A299" s="276">
        <v>288</v>
      </c>
      <c r="B299" s="282" t="s">
        <v>20</v>
      </c>
      <c r="C299" s="281" t="s">
        <v>151</v>
      </c>
      <c r="D299" s="281" t="s">
        <v>415</v>
      </c>
      <c r="E299" s="281" t="s">
        <v>501</v>
      </c>
      <c r="F299" s="276">
        <v>240</v>
      </c>
      <c r="G299" s="27">
        <f>2500000</f>
        <v>2500000</v>
      </c>
      <c r="H299" s="27">
        <v>2500000</v>
      </c>
      <c r="I299" s="146">
        <v>0</v>
      </c>
      <c r="J299" s="207">
        <f t="shared" si="146"/>
        <v>0</v>
      </c>
      <c r="M299" s="295"/>
      <c r="N299" s="295"/>
      <c r="O299" s="295"/>
    </row>
    <row r="300" spans="1:15" x14ac:dyDescent="0.25">
      <c r="A300" s="276">
        <v>289</v>
      </c>
      <c r="B300" s="298" t="s">
        <v>112</v>
      </c>
      <c r="C300" s="281" t="s">
        <v>151</v>
      </c>
      <c r="D300" s="281" t="s">
        <v>113</v>
      </c>
      <c r="E300" s="281"/>
      <c r="F300" s="276"/>
      <c r="G300" s="27">
        <f t="shared" ref="G300:I303" si="164">G301</f>
        <v>3923200</v>
      </c>
      <c r="H300" s="27">
        <f t="shared" si="164"/>
        <v>3923200</v>
      </c>
      <c r="I300" s="27">
        <f t="shared" si="164"/>
        <v>3576315.61</v>
      </c>
      <c r="J300" s="207">
        <f t="shared" si="146"/>
        <v>91.158126274469822</v>
      </c>
      <c r="M300" s="295"/>
      <c r="N300" s="295"/>
      <c r="O300" s="295"/>
    </row>
    <row r="301" spans="1:15" x14ac:dyDescent="0.25">
      <c r="A301" s="276">
        <v>290</v>
      </c>
      <c r="B301" s="282" t="s">
        <v>52</v>
      </c>
      <c r="C301" s="281" t="s">
        <v>151</v>
      </c>
      <c r="D301" s="281" t="s">
        <v>118</v>
      </c>
      <c r="E301" s="281"/>
      <c r="F301" s="276"/>
      <c r="G301" s="27">
        <f t="shared" si="164"/>
        <v>3923200</v>
      </c>
      <c r="H301" s="27">
        <f t="shared" si="164"/>
        <v>3923200</v>
      </c>
      <c r="I301" s="27">
        <f t="shared" si="164"/>
        <v>3576315.61</v>
      </c>
      <c r="J301" s="207">
        <f t="shared" si="146"/>
        <v>91.158126274469822</v>
      </c>
      <c r="M301" s="295"/>
      <c r="N301" s="295"/>
      <c r="O301" s="295"/>
    </row>
    <row r="302" spans="1:15" ht="30" x14ac:dyDescent="0.25">
      <c r="A302" s="276">
        <v>291</v>
      </c>
      <c r="B302" s="277" t="s">
        <v>53</v>
      </c>
      <c r="C302" s="281" t="s">
        <v>151</v>
      </c>
      <c r="D302" s="281" t="s">
        <v>118</v>
      </c>
      <c r="E302" s="281" t="s">
        <v>182</v>
      </c>
      <c r="F302" s="276"/>
      <c r="G302" s="27">
        <f t="shared" si="164"/>
        <v>3923200</v>
      </c>
      <c r="H302" s="27">
        <f t="shared" si="164"/>
        <v>3923200</v>
      </c>
      <c r="I302" s="27">
        <f t="shared" si="164"/>
        <v>3576315.61</v>
      </c>
      <c r="J302" s="207">
        <f t="shared" si="146"/>
        <v>91.158126274469822</v>
      </c>
      <c r="M302" s="295"/>
      <c r="N302" s="295"/>
      <c r="O302" s="295"/>
    </row>
    <row r="303" spans="1:15" x14ac:dyDescent="0.25">
      <c r="A303" s="276">
        <v>292</v>
      </c>
      <c r="B303" s="277" t="s">
        <v>54</v>
      </c>
      <c r="C303" s="281" t="s">
        <v>151</v>
      </c>
      <c r="D303" s="281" t="s">
        <v>118</v>
      </c>
      <c r="E303" s="281" t="s">
        <v>183</v>
      </c>
      <c r="F303" s="276"/>
      <c r="G303" s="27">
        <f t="shared" si="164"/>
        <v>3923200</v>
      </c>
      <c r="H303" s="27">
        <f t="shared" si="164"/>
        <v>3923200</v>
      </c>
      <c r="I303" s="27">
        <f t="shared" si="164"/>
        <v>3576315.61</v>
      </c>
      <c r="J303" s="207">
        <f t="shared" si="146"/>
        <v>91.158126274469822</v>
      </c>
      <c r="M303" s="295"/>
      <c r="N303" s="295"/>
      <c r="O303" s="295"/>
    </row>
    <row r="304" spans="1:15" ht="45" x14ac:dyDescent="0.25">
      <c r="A304" s="276">
        <v>293</v>
      </c>
      <c r="B304" s="279" t="s">
        <v>147</v>
      </c>
      <c r="C304" s="281" t="s">
        <v>151</v>
      </c>
      <c r="D304" s="281" t="s">
        <v>118</v>
      </c>
      <c r="E304" s="281" t="s">
        <v>184</v>
      </c>
      <c r="F304" s="276"/>
      <c r="G304" s="27">
        <f t="shared" ref="G304:H304" si="165">G305+G307</f>
        <v>3923200</v>
      </c>
      <c r="H304" s="27">
        <f t="shared" si="165"/>
        <v>3923200</v>
      </c>
      <c r="I304" s="27">
        <f t="shared" ref="I304" si="166">I305+I307</f>
        <v>3576315.61</v>
      </c>
      <c r="J304" s="207">
        <f t="shared" si="146"/>
        <v>91.158126274469822</v>
      </c>
      <c r="M304" s="295"/>
      <c r="N304" s="295"/>
      <c r="O304" s="295"/>
    </row>
    <row r="305" spans="1:15" ht="45" x14ac:dyDescent="0.25">
      <c r="A305" s="276">
        <v>294</v>
      </c>
      <c r="B305" s="282" t="s">
        <v>14</v>
      </c>
      <c r="C305" s="281" t="s">
        <v>151</v>
      </c>
      <c r="D305" s="281" t="s">
        <v>118</v>
      </c>
      <c r="E305" s="281" t="s">
        <v>184</v>
      </c>
      <c r="F305" s="276">
        <v>100</v>
      </c>
      <c r="G305" s="27">
        <f t="shared" ref="G305:I305" si="167">G306</f>
        <v>3296980</v>
      </c>
      <c r="H305" s="27">
        <f t="shared" si="167"/>
        <v>3296980</v>
      </c>
      <c r="I305" s="27">
        <f t="shared" si="167"/>
        <v>2951137.8</v>
      </c>
      <c r="J305" s="207">
        <f t="shared" si="146"/>
        <v>89.510333699324832</v>
      </c>
      <c r="M305" s="295"/>
      <c r="N305" s="295"/>
      <c r="O305" s="295"/>
    </row>
    <row r="306" spans="1:15" x14ac:dyDescent="0.25">
      <c r="A306" s="276">
        <v>295</v>
      </c>
      <c r="B306" s="282" t="s">
        <v>15</v>
      </c>
      <c r="C306" s="281" t="s">
        <v>151</v>
      </c>
      <c r="D306" s="281" t="s">
        <v>118</v>
      </c>
      <c r="E306" s="281" t="s">
        <v>184</v>
      </c>
      <c r="F306" s="276">
        <v>120</v>
      </c>
      <c r="G306" s="27">
        <f>2925014+253100+118866</f>
        <v>3296980</v>
      </c>
      <c r="H306" s="27">
        <v>3296980</v>
      </c>
      <c r="I306" s="146">
        <v>2951137.8</v>
      </c>
      <c r="J306" s="207">
        <f t="shared" si="146"/>
        <v>89.510333699324832</v>
      </c>
      <c r="M306" s="295"/>
      <c r="N306" s="295"/>
      <c r="O306" s="295"/>
    </row>
    <row r="307" spans="1:15" x14ac:dyDescent="0.25">
      <c r="A307" s="276">
        <v>296</v>
      </c>
      <c r="B307" s="282" t="s">
        <v>19</v>
      </c>
      <c r="C307" s="281" t="s">
        <v>151</v>
      </c>
      <c r="D307" s="281" t="s">
        <v>118</v>
      </c>
      <c r="E307" s="281" t="s">
        <v>184</v>
      </c>
      <c r="F307" s="276">
        <v>200</v>
      </c>
      <c r="G307" s="27">
        <f t="shared" ref="G307:I307" si="168">G308</f>
        <v>626220</v>
      </c>
      <c r="H307" s="27">
        <f t="shared" si="168"/>
        <v>626220</v>
      </c>
      <c r="I307" s="27">
        <f t="shared" si="168"/>
        <v>625177.81000000006</v>
      </c>
      <c r="J307" s="207">
        <f t="shared" si="146"/>
        <v>99.833574462648926</v>
      </c>
      <c r="M307" s="295"/>
      <c r="N307" s="295"/>
      <c r="O307" s="295"/>
    </row>
    <row r="308" spans="1:15" x14ac:dyDescent="0.25">
      <c r="A308" s="276">
        <v>297</v>
      </c>
      <c r="B308" s="282" t="s">
        <v>20</v>
      </c>
      <c r="C308" s="281" t="s">
        <v>151</v>
      </c>
      <c r="D308" s="281" t="s">
        <v>118</v>
      </c>
      <c r="E308" s="281" t="s">
        <v>184</v>
      </c>
      <c r="F308" s="276">
        <v>240</v>
      </c>
      <c r="G308" s="27">
        <f>745086-118866</f>
        <v>626220</v>
      </c>
      <c r="H308" s="27">
        <v>626220</v>
      </c>
      <c r="I308" s="146">
        <v>625177.81000000006</v>
      </c>
      <c r="J308" s="207">
        <f t="shared" si="146"/>
        <v>99.833574462648926</v>
      </c>
      <c r="M308" s="295"/>
      <c r="N308" s="295"/>
      <c r="O308" s="295"/>
    </row>
    <row r="309" spans="1:15" x14ac:dyDescent="0.25">
      <c r="A309" s="276">
        <v>298</v>
      </c>
      <c r="B309" s="298" t="s">
        <v>123</v>
      </c>
      <c r="C309" s="281" t="s">
        <v>151</v>
      </c>
      <c r="D309" s="281" t="s">
        <v>124</v>
      </c>
      <c r="E309" s="281"/>
      <c r="F309" s="276"/>
      <c r="G309" s="27">
        <f t="shared" ref="G309:H309" si="169">G316+G322+G328+G310</f>
        <v>8749820.2699999996</v>
      </c>
      <c r="H309" s="27">
        <f t="shared" si="169"/>
        <v>8924820.2699999996</v>
      </c>
      <c r="I309" s="27">
        <f t="shared" ref="I309" si="170">I316+I322+I328+I310</f>
        <v>8668590.1500000004</v>
      </c>
      <c r="J309" s="207">
        <f t="shared" si="146"/>
        <v>97.129016470378744</v>
      </c>
      <c r="M309" s="295"/>
      <c r="N309" s="295"/>
      <c r="O309" s="295"/>
    </row>
    <row r="310" spans="1:15" x14ac:dyDescent="0.25">
      <c r="A310" s="276">
        <v>299</v>
      </c>
      <c r="B310" s="298" t="s">
        <v>75</v>
      </c>
      <c r="C310" s="281" t="s">
        <v>151</v>
      </c>
      <c r="D310" s="281" t="s">
        <v>125</v>
      </c>
      <c r="E310" s="281"/>
      <c r="F310" s="276"/>
      <c r="G310" s="27">
        <f t="shared" ref="G310:I310" si="171">G311</f>
        <v>1000000</v>
      </c>
      <c r="H310" s="27">
        <f t="shared" si="171"/>
        <v>1000000</v>
      </c>
      <c r="I310" s="27">
        <f t="shared" si="171"/>
        <v>981024.84</v>
      </c>
      <c r="J310" s="207">
        <f t="shared" si="146"/>
        <v>98.102484000000004</v>
      </c>
      <c r="M310" s="295"/>
      <c r="N310" s="295"/>
      <c r="O310" s="295"/>
    </row>
    <row r="311" spans="1:15" x14ac:dyDescent="0.25">
      <c r="A311" s="276">
        <v>300</v>
      </c>
      <c r="B311" s="298" t="s">
        <v>304</v>
      </c>
      <c r="C311" s="281" t="s">
        <v>151</v>
      </c>
      <c r="D311" s="281" t="s">
        <v>125</v>
      </c>
      <c r="E311" s="281" t="s">
        <v>176</v>
      </c>
      <c r="F311" s="276"/>
      <c r="G311" s="27">
        <f t="shared" ref="G311:I314" si="172">G312</f>
        <v>1000000</v>
      </c>
      <c r="H311" s="27">
        <f t="shared" si="172"/>
        <v>1000000</v>
      </c>
      <c r="I311" s="27">
        <f t="shared" si="172"/>
        <v>981024.84</v>
      </c>
      <c r="J311" s="207">
        <f t="shared" si="146"/>
        <v>98.102484000000004</v>
      </c>
      <c r="M311" s="295"/>
      <c r="N311" s="295"/>
      <c r="O311" s="295"/>
    </row>
    <row r="312" spans="1:15" x14ac:dyDescent="0.25">
      <c r="A312" s="276">
        <v>301</v>
      </c>
      <c r="B312" s="298" t="s">
        <v>383</v>
      </c>
      <c r="C312" s="281" t="s">
        <v>151</v>
      </c>
      <c r="D312" s="281" t="s">
        <v>125</v>
      </c>
      <c r="E312" s="281" t="s">
        <v>379</v>
      </c>
      <c r="F312" s="276"/>
      <c r="G312" s="27">
        <f t="shared" si="172"/>
        <v>1000000</v>
      </c>
      <c r="H312" s="27">
        <f t="shared" si="172"/>
        <v>1000000</v>
      </c>
      <c r="I312" s="27">
        <f t="shared" si="172"/>
        <v>981024.84</v>
      </c>
      <c r="J312" s="207">
        <f t="shared" si="146"/>
        <v>98.102484000000004</v>
      </c>
      <c r="M312" s="295"/>
      <c r="N312" s="295"/>
      <c r="O312" s="295"/>
    </row>
    <row r="313" spans="1:15" ht="60" x14ac:dyDescent="0.25">
      <c r="A313" s="276">
        <v>302</v>
      </c>
      <c r="B313" s="304" t="s">
        <v>384</v>
      </c>
      <c r="C313" s="281" t="s">
        <v>151</v>
      </c>
      <c r="D313" s="281" t="s">
        <v>125</v>
      </c>
      <c r="E313" s="281" t="s">
        <v>385</v>
      </c>
      <c r="F313" s="276"/>
      <c r="G313" s="27">
        <f t="shared" si="172"/>
        <v>1000000</v>
      </c>
      <c r="H313" s="27">
        <f t="shared" si="172"/>
        <v>1000000</v>
      </c>
      <c r="I313" s="27">
        <f t="shared" si="172"/>
        <v>981024.84</v>
      </c>
      <c r="J313" s="207">
        <f t="shared" si="146"/>
        <v>98.102484000000004</v>
      </c>
      <c r="M313" s="295"/>
      <c r="N313" s="295"/>
      <c r="O313" s="295"/>
    </row>
    <row r="314" spans="1:15" x14ac:dyDescent="0.25">
      <c r="A314" s="276">
        <v>303</v>
      </c>
      <c r="B314" s="282" t="s">
        <v>76</v>
      </c>
      <c r="C314" s="281" t="s">
        <v>151</v>
      </c>
      <c r="D314" s="281" t="s">
        <v>125</v>
      </c>
      <c r="E314" s="281" t="s">
        <v>385</v>
      </c>
      <c r="F314" s="276">
        <v>300</v>
      </c>
      <c r="G314" s="27">
        <f t="shared" si="172"/>
        <v>1000000</v>
      </c>
      <c r="H314" s="27">
        <f t="shared" si="172"/>
        <v>1000000</v>
      </c>
      <c r="I314" s="27">
        <f t="shared" si="172"/>
        <v>981024.84</v>
      </c>
      <c r="J314" s="207">
        <f t="shared" si="146"/>
        <v>98.102484000000004</v>
      </c>
      <c r="M314" s="295"/>
      <c r="N314" s="295"/>
      <c r="O314" s="295"/>
    </row>
    <row r="315" spans="1:15" x14ac:dyDescent="0.25">
      <c r="A315" s="276">
        <v>304</v>
      </c>
      <c r="B315" s="298" t="s">
        <v>386</v>
      </c>
      <c r="C315" s="281" t="s">
        <v>151</v>
      </c>
      <c r="D315" s="281" t="s">
        <v>125</v>
      </c>
      <c r="E315" s="281" t="s">
        <v>385</v>
      </c>
      <c r="F315" s="276">
        <v>310</v>
      </c>
      <c r="G315" s="27">
        <f>1300000-300000</f>
        <v>1000000</v>
      </c>
      <c r="H315" s="27">
        <v>1000000</v>
      </c>
      <c r="I315" s="146">
        <v>981024.84</v>
      </c>
      <c r="J315" s="207">
        <f t="shared" si="146"/>
        <v>98.102484000000004</v>
      </c>
      <c r="M315" s="295"/>
      <c r="N315" s="295"/>
      <c r="O315" s="295"/>
    </row>
    <row r="316" spans="1:15" x14ac:dyDescent="0.25">
      <c r="A316" s="276">
        <v>305</v>
      </c>
      <c r="B316" s="282" t="s">
        <v>77</v>
      </c>
      <c r="C316" s="281" t="s">
        <v>151</v>
      </c>
      <c r="D316" s="281" t="s">
        <v>126</v>
      </c>
      <c r="E316" s="281"/>
      <c r="F316" s="276"/>
      <c r="G316" s="27">
        <f t="shared" ref="G316:I320" si="173">G317</f>
        <v>1571445.72</v>
      </c>
      <c r="H316" s="27">
        <f t="shared" si="173"/>
        <v>1571445.72</v>
      </c>
      <c r="I316" s="27">
        <f t="shared" si="173"/>
        <v>1571445.72</v>
      </c>
      <c r="J316" s="207">
        <f t="shared" si="146"/>
        <v>100</v>
      </c>
      <c r="M316" s="295"/>
      <c r="N316" s="295"/>
      <c r="O316" s="295"/>
    </row>
    <row r="317" spans="1:15" ht="30" x14ac:dyDescent="0.25">
      <c r="A317" s="276">
        <v>306</v>
      </c>
      <c r="B317" s="74" t="s">
        <v>56</v>
      </c>
      <c r="C317" s="281" t="s">
        <v>151</v>
      </c>
      <c r="D317" s="281" t="s">
        <v>126</v>
      </c>
      <c r="E317" s="281">
        <v>1100000000</v>
      </c>
      <c r="F317" s="276"/>
      <c r="G317" s="27">
        <f t="shared" si="173"/>
        <v>1571445.72</v>
      </c>
      <c r="H317" s="27">
        <f t="shared" si="173"/>
        <v>1571445.72</v>
      </c>
      <c r="I317" s="27">
        <f t="shared" si="173"/>
        <v>1571445.72</v>
      </c>
      <c r="J317" s="207">
        <f t="shared" si="146"/>
        <v>100</v>
      </c>
      <c r="M317" s="295"/>
      <c r="N317" s="295"/>
      <c r="O317" s="295"/>
    </row>
    <row r="318" spans="1:15" x14ac:dyDescent="0.25">
      <c r="A318" s="276">
        <v>307</v>
      </c>
      <c r="B318" s="74" t="s">
        <v>140</v>
      </c>
      <c r="C318" s="281" t="s">
        <v>151</v>
      </c>
      <c r="D318" s="281" t="s">
        <v>126</v>
      </c>
      <c r="E318" s="281">
        <v>1120000000</v>
      </c>
      <c r="F318" s="276"/>
      <c r="G318" s="27">
        <f t="shared" si="173"/>
        <v>1571445.72</v>
      </c>
      <c r="H318" s="27">
        <f t="shared" si="173"/>
        <v>1571445.72</v>
      </c>
      <c r="I318" s="27">
        <f t="shared" si="173"/>
        <v>1571445.72</v>
      </c>
      <c r="J318" s="207">
        <f t="shared" si="146"/>
        <v>100</v>
      </c>
      <c r="M318" s="295"/>
      <c r="N318" s="295"/>
      <c r="O318" s="295"/>
    </row>
    <row r="319" spans="1:15" x14ac:dyDescent="0.25">
      <c r="A319" s="276">
        <v>308</v>
      </c>
      <c r="B319" s="277" t="s">
        <v>145</v>
      </c>
      <c r="C319" s="281" t="s">
        <v>151</v>
      </c>
      <c r="D319" s="281" t="s">
        <v>126</v>
      </c>
      <c r="E319" s="281" t="s">
        <v>267</v>
      </c>
      <c r="F319" s="276"/>
      <c r="G319" s="27">
        <f t="shared" si="173"/>
        <v>1571445.72</v>
      </c>
      <c r="H319" s="27">
        <f t="shared" si="173"/>
        <v>1571445.72</v>
      </c>
      <c r="I319" s="27">
        <f t="shared" si="173"/>
        <v>1571445.72</v>
      </c>
      <c r="J319" s="207">
        <f t="shared" si="146"/>
        <v>100</v>
      </c>
      <c r="M319" s="295"/>
      <c r="N319" s="295"/>
      <c r="O319" s="295"/>
    </row>
    <row r="320" spans="1:15" x14ac:dyDescent="0.25">
      <c r="A320" s="276">
        <v>309</v>
      </c>
      <c r="B320" s="282" t="s">
        <v>76</v>
      </c>
      <c r="C320" s="281" t="s">
        <v>151</v>
      </c>
      <c r="D320" s="281" t="s">
        <v>126</v>
      </c>
      <c r="E320" s="281" t="s">
        <v>267</v>
      </c>
      <c r="F320" s="276">
        <v>300</v>
      </c>
      <c r="G320" s="27">
        <f t="shared" si="173"/>
        <v>1571445.72</v>
      </c>
      <c r="H320" s="27">
        <f t="shared" si="173"/>
        <v>1571445.72</v>
      </c>
      <c r="I320" s="27">
        <f t="shared" si="173"/>
        <v>1571445.72</v>
      </c>
      <c r="J320" s="207">
        <f t="shared" si="146"/>
        <v>100</v>
      </c>
      <c r="M320" s="295"/>
      <c r="N320" s="295"/>
      <c r="O320" s="295"/>
    </row>
    <row r="321" spans="1:15" x14ac:dyDescent="0.25">
      <c r="A321" s="276">
        <v>310</v>
      </c>
      <c r="B321" s="282" t="s">
        <v>80</v>
      </c>
      <c r="C321" s="281" t="s">
        <v>151</v>
      </c>
      <c r="D321" s="281" t="s">
        <v>126</v>
      </c>
      <c r="E321" s="281" t="s">
        <v>267</v>
      </c>
      <c r="F321" s="276">
        <v>320</v>
      </c>
      <c r="G321" s="27">
        <f>700000+871445.72</f>
        <v>1571445.72</v>
      </c>
      <c r="H321" s="27">
        <v>1571445.72</v>
      </c>
      <c r="I321" s="146">
        <v>1571445.72</v>
      </c>
      <c r="J321" s="207">
        <f t="shared" si="146"/>
        <v>100</v>
      </c>
      <c r="M321" s="295"/>
      <c r="N321" s="295"/>
      <c r="O321" s="295"/>
    </row>
    <row r="322" spans="1:15" x14ac:dyDescent="0.25">
      <c r="A322" s="276">
        <v>311</v>
      </c>
      <c r="B322" s="31" t="s">
        <v>57</v>
      </c>
      <c r="C322" s="281" t="s">
        <v>151</v>
      </c>
      <c r="D322" s="281" t="s">
        <v>164</v>
      </c>
      <c r="E322" s="281"/>
      <c r="F322" s="276"/>
      <c r="G322" s="27">
        <f t="shared" ref="G322:I322" si="174">G323</f>
        <v>2420000</v>
      </c>
      <c r="H322" s="27">
        <f t="shared" si="174"/>
        <v>2420000</v>
      </c>
      <c r="I322" s="27">
        <f t="shared" si="174"/>
        <v>2420000</v>
      </c>
      <c r="J322" s="207">
        <f t="shared" si="146"/>
        <v>100</v>
      </c>
      <c r="M322" s="295"/>
      <c r="N322" s="295"/>
      <c r="O322" s="295"/>
    </row>
    <row r="323" spans="1:15" ht="30" x14ac:dyDescent="0.25">
      <c r="A323" s="276">
        <v>312</v>
      </c>
      <c r="B323" s="74" t="s">
        <v>56</v>
      </c>
      <c r="C323" s="281" t="s">
        <v>151</v>
      </c>
      <c r="D323" s="281" t="s">
        <v>164</v>
      </c>
      <c r="E323" s="281">
        <v>1100000000</v>
      </c>
      <c r="F323" s="276"/>
      <c r="G323" s="27">
        <f t="shared" ref="G323:I326" si="175">G324</f>
        <v>2420000</v>
      </c>
      <c r="H323" s="27">
        <f t="shared" si="175"/>
        <v>2420000</v>
      </c>
      <c r="I323" s="27">
        <f t="shared" si="175"/>
        <v>2420000</v>
      </c>
      <c r="J323" s="207">
        <f t="shared" si="146"/>
        <v>100</v>
      </c>
      <c r="M323" s="295"/>
      <c r="N323" s="295"/>
      <c r="O323" s="295"/>
    </row>
    <row r="324" spans="1:15" ht="30" x14ac:dyDescent="0.25">
      <c r="A324" s="276">
        <v>313</v>
      </c>
      <c r="B324" s="277" t="s">
        <v>152</v>
      </c>
      <c r="C324" s="281" t="s">
        <v>151</v>
      </c>
      <c r="D324" s="281" t="s">
        <v>164</v>
      </c>
      <c r="E324" s="281">
        <v>1150000000</v>
      </c>
      <c r="F324" s="276"/>
      <c r="G324" s="27">
        <f t="shared" si="175"/>
        <v>2420000</v>
      </c>
      <c r="H324" s="27">
        <f t="shared" si="175"/>
        <v>2420000</v>
      </c>
      <c r="I324" s="27">
        <f t="shared" si="175"/>
        <v>2420000</v>
      </c>
      <c r="J324" s="207">
        <f t="shared" si="146"/>
        <v>100</v>
      </c>
      <c r="M324" s="295"/>
      <c r="N324" s="295"/>
      <c r="O324" s="295"/>
    </row>
    <row r="325" spans="1:15" ht="45" x14ac:dyDescent="0.25">
      <c r="A325" s="276">
        <v>314</v>
      </c>
      <c r="B325" s="277" t="s">
        <v>374</v>
      </c>
      <c r="C325" s="281" t="s">
        <v>151</v>
      </c>
      <c r="D325" s="281" t="s">
        <v>164</v>
      </c>
      <c r="E325" s="281">
        <v>1150075870</v>
      </c>
      <c r="F325" s="276"/>
      <c r="G325" s="27">
        <f t="shared" si="175"/>
        <v>2420000</v>
      </c>
      <c r="H325" s="27">
        <f t="shared" si="175"/>
        <v>2420000</v>
      </c>
      <c r="I325" s="27">
        <f t="shared" si="175"/>
        <v>2420000</v>
      </c>
      <c r="J325" s="207">
        <f t="shared" si="146"/>
        <v>100</v>
      </c>
      <c r="M325" s="295"/>
      <c r="N325" s="295"/>
      <c r="O325" s="295"/>
    </row>
    <row r="326" spans="1:15" ht="30" x14ac:dyDescent="0.25">
      <c r="A326" s="276">
        <v>315</v>
      </c>
      <c r="B326" s="283" t="s">
        <v>153</v>
      </c>
      <c r="C326" s="281" t="s">
        <v>151</v>
      </c>
      <c r="D326" s="281" t="s">
        <v>164</v>
      </c>
      <c r="E326" s="281">
        <v>1150075870</v>
      </c>
      <c r="F326" s="276">
        <v>400</v>
      </c>
      <c r="G326" s="27">
        <f t="shared" si="175"/>
        <v>2420000</v>
      </c>
      <c r="H326" s="27">
        <f t="shared" si="175"/>
        <v>2420000</v>
      </c>
      <c r="I326" s="27">
        <f t="shared" si="175"/>
        <v>2420000</v>
      </c>
      <c r="J326" s="207">
        <f t="shared" si="146"/>
        <v>100</v>
      </c>
      <c r="M326" s="295"/>
      <c r="N326" s="295"/>
      <c r="O326" s="295"/>
    </row>
    <row r="327" spans="1:15" x14ac:dyDescent="0.25">
      <c r="A327" s="276">
        <v>316</v>
      </c>
      <c r="B327" s="283" t="s">
        <v>154</v>
      </c>
      <c r="C327" s="281" t="s">
        <v>151</v>
      </c>
      <c r="D327" s="281" t="s">
        <v>164</v>
      </c>
      <c r="E327" s="281">
        <v>1150075870</v>
      </c>
      <c r="F327" s="276">
        <v>410</v>
      </c>
      <c r="G327" s="27">
        <f>3290200-34.55-870165.45</f>
        <v>2420000</v>
      </c>
      <c r="H327" s="27">
        <v>2420000</v>
      </c>
      <c r="I327" s="146">
        <v>2420000</v>
      </c>
      <c r="J327" s="207">
        <f t="shared" si="146"/>
        <v>100</v>
      </c>
      <c r="M327" s="295"/>
      <c r="N327" s="295"/>
      <c r="O327" s="295"/>
    </row>
    <row r="328" spans="1:15" ht="15.75" x14ac:dyDescent="0.25">
      <c r="A328" s="276">
        <v>317</v>
      </c>
      <c r="B328" s="307" t="s">
        <v>78</v>
      </c>
      <c r="C328" s="281" t="s">
        <v>151</v>
      </c>
      <c r="D328" s="281" t="s">
        <v>127</v>
      </c>
      <c r="E328" s="281"/>
      <c r="F328" s="276"/>
      <c r="G328" s="27">
        <f>G329+G344+G354</f>
        <v>3758374.55</v>
      </c>
      <c r="H328" s="27">
        <f>H329+H344+H354</f>
        <v>3933374.55</v>
      </c>
      <c r="I328" s="27">
        <f>I329+I344+I354</f>
        <v>3696119.59</v>
      </c>
      <c r="J328" s="207">
        <f t="shared" si="146"/>
        <v>93.968157443841704</v>
      </c>
      <c r="M328" s="295"/>
      <c r="N328" s="295"/>
      <c r="O328" s="295"/>
    </row>
    <row r="329" spans="1:15" x14ac:dyDescent="0.25">
      <c r="A329" s="276">
        <v>318</v>
      </c>
      <c r="B329" s="283" t="s">
        <v>253</v>
      </c>
      <c r="C329" s="281" t="s">
        <v>151</v>
      </c>
      <c r="D329" s="281" t="s">
        <v>127</v>
      </c>
      <c r="E329" s="281">
        <v>8500000000</v>
      </c>
      <c r="F329" s="276"/>
      <c r="G329" s="27">
        <f t="shared" ref="G329:I329" si="176">G330</f>
        <v>3319300</v>
      </c>
      <c r="H329" s="27">
        <f t="shared" si="176"/>
        <v>3494300</v>
      </c>
      <c r="I329" s="27">
        <f t="shared" si="176"/>
        <v>3407825.6399999997</v>
      </c>
      <c r="J329" s="207">
        <f t="shared" si="146"/>
        <v>97.525273731505592</v>
      </c>
      <c r="M329" s="295"/>
      <c r="N329" s="295"/>
      <c r="O329" s="295"/>
    </row>
    <row r="330" spans="1:15" x14ac:dyDescent="0.25">
      <c r="A330" s="276">
        <v>319</v>
      </c>
      <c r="B330" s="283" t="s">
        <v>254</v>
      </c>
      <c r="C330" s="281" t="s">
        <v>151</v>
      </c>
      <c r="D330" s="281" t="s">
        <v>127</v>
      </c>
      <c r="E330" s="281">
        <v>8510000000</v>
      </c>
      <c r="F330" s="276"/>
      <c r="G330" s="27">
        <f>G331+G336+G341</f>
        <v>3319300</v>
      </c>
      <c r="H330" s="27">
        <f t="shared" ref="H330:I330" si="177">H331+H336+H341</f>
        <v>3494300</v>
      </c>
      <c r="I330" s="27">
        <f t="shared" si="177"/>
        <v>3407825.6399999997</v>
      </c>
      <c r="J330" s="207">
        <f t="shared" si="146"/>
        <v>97.525273731505592</v>
      </c>
      <c r="M330" s="295"/>
      <c r="N330" s="295"/>
      <c r="O330" s="295"/>
    </row>
    <row r="331" spans="1:15" ht="30" x14ac:dyDescent="0.25">
      <c r="A331" s="276">
        <v>320</v>
      </c>
      <c r="B331" s="277" t="s">
        <v>381</v>
      </c>
      <c r="C331" s="281" t="s">
        <v>151</v>
      </c>
      <c r="D331" s="281" t="s">
        <v>127</v>
      </c>
      <c r="E331" s="281">
        <v>8510002890</v>
      </c>
      <c r="F331" s="276"/>
      <c r="G331" s="27">
        <f t="shared" ref="G331:H331" si="178">G332+G334</f>
        <v>1191200</v>
      </c>
      <c r="H331" s="27">
        <f t="shared" si="178"/>
        <v>1191200</v>
      </c>
      <c r="I331" s="27">
        <f t="shared" ref="I331" si="179">I332+I334</f>
        <v>1110530.3999999999</v>
      </c>
      <c r="J331" s="207">
        <f t="shared" si="146"/>
        <v>93.227871054398918</v>
      </c>
      <c r="M331" s="295"/>
      <c r="N331" s="295"/>
      <c r="O331" s="295"/>
    </row>
    <row r="332" spans="1:15" ht="45" x14ac:dyDescent="0.25">
      <c r="A332" s="276">
        <v>321</v>
      </c>
      <c r="B332" s="282" t="s">
        <v>14</v>
      </c>
      <c r="C332" s="281" t="s">
        <v>151</v>
      </c>
      <c r="D332" s="281" t="s">
        <v>127</v>
      </c>
      <c r="E332" s="281">
        <v>8510002890</v>
      </c>
      <c r="F332" s="276">
        <v>100</v>
      </c>
      <c r="G332" s="27">
        <f t="shared" ref="G332:I332" si="180">G333</f>
        <v>1042738.06</v>
      </c>
      <c r="H332" s="27">
        <f t="shared" si="180"/>
        <v>1042738.06</v>
      </c>
      <c r="I332" s="27">
        <f t="shared" si="180"/>
        <v>985568.89</v>
      </c>
      <c r="J332" s="207">
        <f t="shared" si="146"/>
        <v>94.51739874154012</v>
      </c>
      <c r="M332" s="295"/>
      <c r="N332" s="295"/>
      <c r="O332" s="295"/>
    </row>
    <row r="333" spans="1:15" x14ac:dyDescent="0.25">
      <c r="A333" s="276">
        <v>322</v>
      </c>
      <c r="B333" s="282" t="s">
        <v>15</v>
      </c>
      <c r="C333" s="281" t="s">
        <v>151</v>
      </c>
      <c r="D333" s="281" t="s">
        <v>127</v>
      </c>
      <c r="E333" s="281">
        <v>8510002890</v>
      </c>
      <c r="F333" s="276">
        <v>120</v>
      </c>
      <c r="G333" s="27">
        <f>958338.06+84400</f>
        <v>1042738.06</v>
      </c>
      <c r="H333" s="27">
        <v>1042738.06</v>
      </c>
      <c r="I333" s="146">
        <v>985568.89</v>
      </c>
      <c r="J333" s="207">
        <f t="shared" ref="J333:J396" si="181">I333/H333*100</f>
        <v>94.51739874154012</v>
      </c>
      <c r="M333" s="295"/>
      <c r="N333" s="295"/>
      <c r="O333" s="295"/>
    </row>
    <row r="334" spans="1:15" x14ac:dyDescent="0.25">
      <c r="A334" s="276">
        <v>323</v>
      </c>
      <c r="B334" s="282" t="s">
        <v>19</v>
      </c>
      <c r="C334" s="281" t="s">
        <v>151</v>
      </c>
      <c r="D334" s="281" t="s">
        <v>127</v>
      </c>
      <c r="E334" s="281">
        <v>8510002890</v>
      </c>
      <c r="F334" s="276">
        <v>200</v>
      </c>
      <c r="G334" s="27">
        <f t="shared" ref="G334:I334" si="182">G335</f>
        <v>148461.94</v>
      </c>
      <c r="H334" s="27">
        <f t="shared" si="182"/>
        <v>148461.94</v>
      </c>
      <c r="I334" s="27">
        <f t="shared" si="182"/>
        <v>124961.51</v>
      </c>
      <c r="J334" s="207">
        <f t="shared" si="181"/>
        <v>84.170737631476456</v>
      </c>
      <c r="M334" s="295"/>
      <c r="N334" s="295"/>
      <c r="O334" s="295"/>
    </row>
    <row r="335" spans="1:15" x14ac:dyDescent="0.25">
      <c r="A335" s="276">
        <v>324</v>
      </c>
      <c r="B335" s="282" t="s">
        <v>20</v>
      </c>
      <c r="C335" s="281" t="s">
        <v>151</v>
      </c>
      <c r="D335" s="281" t="s">
        <v>127</v>
      </c>
      <c r="E335" s="281">
        <v>8510002890</v>
      </c>
      <c r="F335" s="276">
        <v>240</v>
      </c>
      <c r="G335" s="27">
        <v>148461.94</v>
      </c>
      <c r="H335" s="27">
        <v>148461.94</v>
      </c>
      <c r="I335" s="146">
        <v>124961.51</v>
      </c>
      <c r="J335" s="207">
        <f t="shared" si="181"/>
        <v>84.170737631476456</v>
      </c>
      <c r="M335" s="295"/>
      <c r="N335" s="295"/>
      <c r="O335" s="295"/>
    </row>
    <row r="336" spans="1:15" ht="84" customHeight="1" x14ac:dyDescent="0.25">
      <c r="A336" s="276">
        <v>325</v>
      </c>
      <c r="B336" s="282" t="s">
        <v>445</v>
      </c>
      <c r="C336" s="281" t="s">
        <v>151</v>
      </c>
      <c r="D336" s="281" t="s">
        <v>127</v>
      </c>
      <c r="E336" s="281">
        <v>8510078460</v>
      </c>
      <c r="F336" s="276"/>
      <c r="G336" s="27">
        <f>G337+G339</f>
        <v>63100</v>
      </c>
      <c r="H336" s="27">
        <f t="shared" ref="H336:I336" si="183">H337+H339</f>
        <v>63100</v>
      </c>
      <c r="I336" s="27">
        <f t="shared" si="183"/>
        <v>57295.24</v>
      </c>
      <c r="J336" s="207">
        <f t="shared" si="181"/>
        <v>90.800697305863707</v>
      </c>
      <c r="M336" s="295"/>
      <c r="N336" s="295"/>
      <c r="O336" s="295"/>
    </row>
    <row r="337" spans="1:15" ht="45" x14ac:dyDescent="0.25">
      <c r="A337" s="276">
        <v>326</v>
      </c>
      <c r="B337" s="282" t="s">
        <v>14</v>
      </c>
      <c r="C337" s="281" t="s">
        <v>151</v>
      </c>
      <c r="D337" s="281" t="s">
        <v>127</v>
      </c>
      <c r="E337" s="281">
        <v>8510078460</v>
      </c>
      <c r="F337" s="276">
        <v>100</v>
      </c>
      <c r="G337" s="27">
        <f>G338</f>
        <v>56351</v>
      </c>
      <c r="H337" s="27">
        <f t="shared" ref="H337:I337" si="184">H338</f>
        <v>56351</v>
      </c>
      <c r="I337" s="27">
        <f t="shared" si="184"/>
        <v>55846.239999999998</v>
      </c>
      <c r="J337" s="207">
        <f t="shared" si="181"/>
        <v>99.104257244769386</v>
      </c>
      <c r="M337" s="295"/>
      <c r="N337" s="295"/>
      <c r="O337" s="295"/>
    </row>
    <row r="338" spans="1:15" x14ac:dyDescent="0.25">
      <c r="A338" s="276">
        <v>327</v>
      </c>
      <c r="B338" s="282" t="s">
        <v>15</v>
      </c>
      <c r="C338" s="281" t="s">
        <v>151</v>
      </c>
      <c r="D338" s="281" t="s">
        <v>127</v>
      </c>
      <c r="E338" s="281">
        <v>8510078460</v>
      </c>
      <c r="F338" s="276">
        <v>120</v>
      </c>
      <c r="G338" s="27">
        <f>51751+4600</f>
        <v>56351</v>
      </c>
      <c r="H338" s="27">
        <v>56351</v>
      </c>
      <c r="I338" s="146">
        <v>55846.239999999998</v>
      </c>
      <c r="J338" s="207">
        <f t="shared" si="181"/>
        <v>99.104257244769386</v>
      </c>
      <c r="M338" s="295"/>
      <c r="N338" s="295"/>
      <c r="O338" s="295"/>
    </row>
    <row r="339" spans="1:15" x14ac:dyDescent="0.25">
      <c r="A339" s="276">
        <v>328</v>
      </c>
      <c r="B339" s="282" t="s">
        <v>19</v>
      </c>
      <c r="C339" s="281" t="s">
        <v>151</v>
      </c>
      <c r="D339" s="281" t="s">
        <v>127</v>
      </c>
      <c r="E339" s="281">
        <v>8510078460</v>
      </c>
      <c r="F339" s="276">
        <v>200</v>
      </c>
      <c r="G339" s="27">
        <f>G340</f>
        <v>6749</v>
      </c>
      <c r="H339" s="27">
        <f t="shared" ref="H339:I339" si="185">H340</f>
        <v>6749</v>
      </c>
      <c r="I339" s="27">
        <f t="shared" si="185"/>
        <v>1449</v>
      </c>
      <c r="J339" s="207">
        <f t="shared" si="181"/>
        <v>21.469847384797745</v>
      </c>
      <c r="M339" s="295"/>
      <c r="N339" s="295"/>
      <c r="O339" s="295"/>
    </row>
    <row r="340" spans="1:15" x14ac:dyDescent="0.25">
      <c r="A340" s="276">
        <v>329</v>
      </c>
      <c r="B340" s="282" t="s">
        <v>20</v>
      </c>
      <c r="C340" s="281" t="s">
        <v>151</v>
      </c>
      <c r="D340" s="281" t="s">
        <v>127</v>
      </c>
      <c r="E340" s="281">
        <v>8510078460</v>
      </c>
      <c r="F340" s="276">
        <v>240</v>
      </c>
      <c r="G340" s="27">
        <f>1449+5300</f>
        <v>6749</v>
      </c>
      <c r="H340" s="27">
        <v>6749</v>
      </c>
      <c r="I340" s="146">
        <v>1449</v>
      </c>
      <c r="J340" s="207">
        <f t="shared" si="181"/>
        <v>21.469847384797745</v>
      </c>
      <c r="M340" s="295"/>
      <c r="N340" s="295"/>
      <c r="O340" s="295"/>
    </row>
    <row r="341" spans="1:15" ht="33.75" customHeight="1" x14ac:dyDescent="0.25">
      <c r="A341" s="276">
        <v>330</v>
      </c>
      <c r="B341" s="282" t="s">
        <v>579</v>
      </c>
      <c r="C341" s="281" t="s">
        <v>151</v>
      </c>
      <c r="D341" s="281" t="s">
        <v>127</v>
      </c>
      <c r="E341" s="281" t="s">
        <v>578</v>
      </c>
      <c r="F341" s="276"/>
      <c r="G341" s="27">
        <f>G342</f>
        <v>2065000</v>
      </c>
      <c r="H341" s="27">
        <f t="shared" ref="H341:I341" si="186">H342</f>
        <v>2240000</v>
      </c>
      <c r="I341" s="27">
        <f t="shared" si="186"/>
        <v>2240000</v>
      </c>
      <c r="J341" s="207">
        <f t="shared" si="181"/>
        <v>100</v>
      </c>
      <c r="M341" s="295"/>
      <c r="N341" s="295"/>
      <c r="O341" s="295"/>
    </row>
    <row r="342" spans="1:15" x14ac:dyDescent="0.25">
      <c r="A342" s="276">
        <v>331</v>
      </c>
      <c r="B342" s="282" t="s">
        <v>145</v>
      </c>
      <c r="C342" s="281" t="s">
        <v>151</v>
      </c>
      <c r="D342" s="281" t="s">
        <v>127</v>
      </c>
      <c r="E342" s="281" t="s">
        <v>578</v>
      </c>
      <c r="F342" s="276">
        <v>300</v>
      </c>
      <c r="G342" s="27">
        <f>G343</f>
        <v>2065000</v>
      </c>
      <c r="H342" s="27">
        <f t="shared" ref="H342:I342" si="187">H343</f>
        <v>2240000</v>
      </c>
      <c r="I342" s="27">
        <f t="shared" si="187"/>
        <v>2240000</v>
      </c>
      <c r="J342" s="207">
        <f t="shared" si="181"/>
        <v>100</v>
      </c>
      <c r="M342" s="295"/>
      <c r="N342" s="295"/>
      <c r="O342" s="295"/>
    </row>
    <row r="343" spans="1:15" x14ac:dyDescent="0.25">
      <c r="A343" s="276">
        <v>332</v>
      </c>
      <c r="B343" s="282" t="s">
        <v>80</v>
      </c>
      <c r="C343" s="281" t="s">
        <v>151</v>
      </c>
      <c r="D343" s="281" t="s">
        <v>127</v>
      </c>
      <c r="E343" s="281" t="s">
        <v>578</v>
      </c>
      <c r="F343" s="276">
        <v>320</v>
      </c>
      <c r="G343" s="27">
        <f>1750000+140000+175000</f>
        <v>2065000</v>
      </c>
      <c r="H343" s="27">
        <v>2240000</v>
      </c>
      <c r="I343" s="146">
        <v>2240000</v>
      </c>
      <c r="J343" s="207">
        <f t="shared" si="181"/>
        <v>100</v>
      </c>
      <c r="M343" s="295"/>
      <c r="N343" s="295"/>
      <c r="O343" s="295"/>
    </row>
    <row r="344" spans="1:15" x14ac:dyDescent="0.25">
      <c r="A344" s="276">
        <v>333</v>
      </c>
      <c r="B344" s="298" t="s">
        <v>304</v>
      </c>
      <c r="C344" s="281" t="s">
        <v>151</v>
      </c>
      <c r="D344" s="281" t="s">
        <v>127</v>
      </c>
      <c r="E344" s="281" t="s">
        <v>176</v>
      </c>
      <c r="F344" s="276"/>
      <c r="G344" s="27">
        <f t="shared" ref="G344:I344" si="188">G345</f>
        <v>323640</v>
      </c>
      <c r="H344" s="27">
        <f t="shared" si="188"/>
        <v>323640</v>
      </c>
      <c r="I344" s="27">
        <f t="shared" si="188"/>
        <v>173640</v>
      </c>
      <c r="J344" s="207">
        <f t="shared" si="181"/>
        <v>53.652206154987027</v>
      </c>
      <c r="M344" s="295"/>
      <c r="N344" s="295"/>
      <c r="O344" s="295"/>
    </row>
    <row r="345" spans="1:15" x14ac:dyDescent="0.25">
      <c r="A345" s="276">
        <v>334</v>
      </c>
      <c r="B345" s="298" t="s">
        <v>383</v>
      </c>
      <c r="C345" s="281" t="s">
        <v>151</v>
      </c>
      <c r="D345" s="281" t="s">
        <v>127</v>
      </c>
      <c r="E345" s="281" t="s">
        <v>379</v>
      </c>
      <c r="F345" s="276"/>
      <c r="G345" s="27">
        <f t="shared" ref="G345:H345" si="189">G346+G349</f>
        <v>323640</v>
      </c>
      <c r="H345" s="27">
        <f t="shared" si="189"/>
        <v>323640</v>
      </c>
      <c r="I345" s="27">
        <f t="shared" ref="I345" si="190">I346+I349</f>
        <v>173640</v>
      </c>
      <c r="J345" s="207">
        <f t="shared" si="181"/>
        <v>53.652206154987027</v>
      </c>
      <c r="M345" s="295"/>
      <c r="N345" s="295"/>
      <c r="O345" s="295"/>
    </row>
    <row r="346" spans="1:15" ht="45" x14ac:dyDescent="0.25">
      <c r="A346" s="276">
        <v>335</v>
      </c>
      <c r="B346" s="283" t="s">
        <v>391</v>
      </c>
      <c r="C346" s="281" t="s">
        <v>151</v>
      </c>
      <c r="D346" s="281" t="s">
        <v>127</v>
      </c>
      <c r="E346" s="281" t="s">
        <v>387</v>
      </c>
      <c r="F346" s="276"/>
      <c r="G346" s="27">
        <f t="shared" ref="G346:I346" si="191">G347</f>
        <v>225000</v>
      </c>
      <c r="H346" s="27">
        <f t="shared" si="191"/>
        <v>225000</v>
      </c>
      <c r="I346" s="27">
        <f t="shared" si="191"/>
        <v>75000</v>
      </c>
      <c r="J346" s="207">
        <f t="shared" si="181"/>
        <v>33.333333333333329</v>
      </c>
      <c r="M346" s="295"/>
      <c r="N346" s="295"/>
      <c r="O346" s="295"/>
    </row>
    <row r="347" spans="1:15" x14ac:dyDescent="0.25">
      <c r="A347" s="276">
        <v>336</v>
      </c>
      <c r="B347" s="277" t="s">
        <v>145</v>
      </c>
      <c r="C347" s="281" t="s">
        <v>151</v>
      </c>
      <c r="D347" s="281" t="s">
        <v>127</v>
      </c>
      <c r="E347" s="281" t="s">
        <v>387</v>
      </c>
      <c r="F347" s="276">
        <v>300</v>
      </c>
      <c r="G347" s="27">
        <f t="shared" ref="G347:I347" si="192">G348</f>
        <v>225000</v>
      </c>
      <c r="H347" s="27">
        <f t="shared" si="192"/>
        <v>225000</v>
      </c>
      <c r="I347" s="27">
        <f t="shared" si="192"/>
        <v>75000</v>
      </c>
      <c r="J347" s="207">
        <f t="shared" si="181"/>
        <v>33.333333333333329</v>
      </c>
      <c r="M347" s="295"/>
      <c r="N347" s="295"/>
      <c r="O347" s="295"/>
    </row>
    <row r="348" spans="1:15" x14ac:dyDescent="0.25">
      <c r="A348" s="276">
        <v>337</v>
      </c>
      <c r="B348" s="298" t="s">
        <v>386</v>
      </c>
      <c r="C348" s="281" t="s">
        <v>151</v>
      </c>
      <c r="D348" s="281" t="s">
        <v>127</v>
      </c>
      <c r="E348" s="281" t="s">
        <v>387</v>
      </c>
      <c r="F348" s="276">
        <v>310</v>
      </c>
      <c r="G348" s="27">
        <f>500000-275000</f>
        <v>225000</v>
      </c>
      <c r="H348" s="27">
        <v>225000</v>
      </c>
      <c r="I348" s="146">
        <v>75000</v>
      </c>
      <c r="J348" s="207">
        <f t="shared" si="181"/>
        <v>33.333333333333329</v>
      </c>
      <c r="M348" s="295"/>
      <c r="N348" s="295"/>
      <c r="O348" s="295"/>
    </row>
    <row r="349" spans="1:15" ht="45.75" customHeight="1" x14ac:dyDescent="0.25">
      <c r="A349" s="276">
        <v>338</v>
      </c>
      <c r="B349" s="283" t="s">
        <v>388</v>
      </c>
      <c r="C349" s="281" t="s">
        <v>151</v>
      </c>
      <c r="D349" s="281" t="s">
        <v>127</v>
      </c>
      <c r="E349" s="281" t="s">
        <v>389</v>
      </c>
      <c r="F349" s="276"/>
      <c r="G349" s="27">
        <f t="shared" ref="G349:H349" si="193">G350+G352</f>
        <v>98640</v>
      </c>
      <c r="H349" s="27">
        <f t="shared" si="193"/>
        <v>98640</v>
      </c>
      <c r="I349" s="27">
        <f t="shared" ref="I349" si="194">I350+I352</f>
        <v>98640</v>
      </c>
      <c r="J349" s="207">
        <f t="shared" si="181"/>
        <v>100</v>
      </c>
      <c r="M349" s="295"/>
      <c r="N349" s="295"/>
      <c r="O349" s="295"/>
    </row>
    <row r="350" spans="1:15" ht="21" customHeight="1" x14ac:dyDescent="0.25">
      <c r="A350" s="276">
        <v>339</v>
      </c>
      <c r="B350" s="277" t="s">
        <v>145</v>
      </c>
      <c r="C350" s="281" t="s">
        <v>151</v>
      </c>
      <c r="D350" s="281" t="s">
        <v>127</v>
      </c>
      <c r="E350" s="281" t="s">
        <v>389</v>
      </c>
      <c r="F350" s="276">
        <v>300</v>
      </c>
      <c r="G350" s="27">
        <f t="shared" ref="G350:I350" si="195">G351</f>
        <v>92000</v>
      </c>
      <c r="H350" s="27">
        <f t="shared" si="195"/>
        <v>92000</v>
      </c>
      <c r="I350" s="27">
        <f t="shared" si="195"/>
        <v>92000</v>
      </c>
      <c r="J350" s="207">
        <f t="shared" si="181"/>
        <v>100</v>
      </c>
      <c r="M350" s="295"/>
      <c r="N350" s="295"/>
      <c r="O350" s="295"/>
    </row>
    <row r="351" spans="1:15" x14ac:dyDescent="0.25">
      <c r="A351" s="276">
        <v>340</v>
      </c>
      <c r="B351" s="298" t="s">
        <v>80</v>
      </c>
      <c r="C351" s="281" t="s">
        <v>151</v>
      </c>
      <c r="D351" s="281" t="s">
        <v>127</v>
      </c>
      <c r="E351" s="281" t="s">
        <v>389</v>
      </c>
      <c r="F351" s="276">
        <v>320</v>
      </c>
      <c r="G351" s="27">
        <v>92000</v>
      </c>
      <c r="H351" s="27">
        <v>92000</v>
      </c>
      <c r="I351" s="27">
        <v>92000</v>
      </c>
      <c r="J351" s="207">
        <f t="shared" si="181"/>
        <v>100</v>
      </c>
      <c r="M351" s="295"/>
      <c r="N351" s="295"/>
      <c r="O351" s="295"/>
    </row>
    <row r="352" spans="1:15" x14ac:dyDescent="0.25">
      <c r="A352" s="276">
        <v>341</v>
      </c>
      <c r="B352" s="282" t="s">
        <v>19</v>
      </c>
      <c r="C352" s="281" t="s">
        <v>151</v>
      </c>
      <c r="D352" s="281" t="s">
        <v>127</v>
      </c>
      <c r="E352" s="281" t="s">
        <v>389</v>
      </c>
      <c r="F352" s="276">
        <v>200</v>
      </c>
      <c r="G352" s="27">
        <f t="shared" ref="G352:I352" si="196">G353</f>
        <v>6640</v>
      </c>
      <c r="H352" s="27">
        <f t="shared" si="196"/>
        <v>6640</v>
      </c>
      <c r="I352" s="27">
        <f t="shared" si="196"/>
        <v>6640</v>
      </c>
      <c r="J352" s="207">
        <f t="shared" si="181"/>
        <v>100</v>
      </c>
      <c r="M352" s="295"/>
      <c r="N352" s="295"/>
      <c r="O352" s="295"/>
    </row>
    <row r="353" spans="1:15" x14ac:dyDescent="0.25">
      <c r="A353" s="276">
        <v>342</v>
      </c>
      <c r="B353" s="282" t="s">
        <v>20</v>
      </c>
      <c r="C353" s="281" t="s">
        <v>151</v>
      </c>
      <c r="D353" s="281" t="s">
        <v>127</v>
      </c>
      <c r="E353" s="281" t="s">
        <v>389</v>
      </c>
      <c r="F353" s="276">
        <v>240</v>
      </c>
      <c r="G353" s="27">
        <f>15000-8360</f>
        <v>6640</v>
      </c>
      <c r="H353" s="27">
        <v>6640</v>
      </c>
      <c r="I353" s="146">
        <v>6640</v>
      </c>
      <c r="J353" s="207">
        <f t="shared" si="181"/>
        <v>100</v>
      </c>
      <c r="M353" s="295"/>
      <c r="N353" s="295"/>
      <c r="O353" s="295"/>
    </row>
    <row r="354" spans="1:15" ht="30" x14ac:dyDescent="0.25">
      <c r="A354" s="276">
        <v>343</v>
      </c>
      <c r="B354" s="74" t="s">
        <v>56</v>
      </c>
      <c r="C354" s="281" t="s">
        <v>151</v>
      </c>
      <c r="D354" s="281" t="s">
        <v>127</v>
      </c>
      <c r="E354" s="281" t="s">
        <v>460</v>
      </c>
      <c r="F354" s="276"/>
      <c r="G354" s="27">
        <f>G355</f>
        <v>115434.55</v>
      </c>
      <c r="H354" s="27">
        <f t="shared" ref="H354:I355" si="197">H355</f>
        <v>115434.55</v>
      </c>
      <c r="I354" s="27">
        <f t="shared" si="197"/>
        <v>114653.95000000001</v>
      </c>
      <c r="J354" s="207">
        <f t="shared" si="181"/>
        <v>99.323772648656757</v>
      </c>
      <c r="M354" s="295"/>
      <c r="N354" s="295"/>
      <c r="O354" s="295"/>
    </row>
    <row r="355" spans="1:15" ht="30" x14ac:dyDescent="0.25">
      <c r="A355" s="276">
        <v>344</v>
      </c>
      <c r="B355" s="277" t="s">
        <v>152</v>
      </c>
      <c r="C355" s="281" t="s">
        <v>151</v>
      </c>
      <c r="D355" s="281" t="s">
        <v>127</v>
      </c>
      <c r="E355" s="281" t="s">
        <v>461</v>
      </c>
      <c r="F355" s="276"/>
      <c r="G355" s="27">
        <f>G356</f>
        <v>115434.55</v>
      </c>
      <c r="H355" s="27">
        <f t="shared" si="197"/>
        <v>115434.55</v>
      </c>
      <c r="I355" s="27">
        <f t="shared" si="197"/>
        <v>114653.95000000001</v>
      </c>
      <c r="J355" s="207">
        <f t="shared" si="181"/>
        <v>99.323772648656757</v>
      </c>
      <c r="M355" s="295"/>
      <c r="N355" s="295"/>
      <c r="O355" s="295"/>
    </row>
    <row r="356" spans="1:15" ht="45" x14ac:dyDescent="0.25">
      <c r="A356" s="276">
        <v>345</v>
      </c>
      <c r="B356" s="277" t="s">
        <v>374</v>
      </c>
      <c r="C356" s="281" t="s">
        <v>151</v>
      </c>
      <c r="D356" s="281" t="s">
        <v>127</v>
      </c>
      <c r="E356" s="281" t="s">
        <v>462</v>
      </c>
      <c r="F356" s="276"/>
      <c r="G356" s="27">
        <f>G357+G359</f>
        <v>115434.55</v>
      </c>
      <c r="H356" s="27">
        <f t="shared" ref="H356:I356" si="198">H357+H359</f>
        <v>115434.55</v>
      </c>
      <c r="I356" s="27">
        <f t="shared" si="198"/>
        <v>114653.95000000001</v>
      </c>
      <c r="J356" s="207">
        <f t="shared" si="181"/>
        <v>99.323772648656757</v>
      </c>
      <c r="M356" s="295"/>
      <c r="N356" s="295"/>
      <c r="O356" s="295"/>
    </row>
    <row r="357" spans="1:15" ht="45" x14ac:dyDescent="0.25">
      <c r="A357" s="276">
        <v>346</v>
      </c>
      <c r="B357" s="282" t="s">
        <v>14</v>
      </c>
      <c r="C357" s="281" t="s">
        <v>151</v>
      </c>
      <c r="D357" s="281" t="s">
        <v>127</v>
      </c>
      <c r="E357" s="281" t="s">
        <v>462</v>
      </c>
      <c r="F357" s="276">
        <v>100</v>
      </c>
      <c r="G357" s="27">
        <f>G358</f>
        <v>111742.17</v>
      </c>
      <c r="H357" s="27">
        <f t="shared" ref="H357:I357" si="199">H358</f>
        <v>111742.17</v>
      </c>
      <c r="I357" s="27">
        <f t="shared" si="199"/>
        <v>110961.57</v>
      </c>
      <c r="J357" s="207">
        <f t="shared" si="181"/>
        <v>99.301427563112483</v>
      </c>
      <c r="M357" s="295"/>
      <c r="N357" s="295"/>
      <c r="O357" s="295"/>
    </row>
    <row r="358" spans="1:15" x14ac:dyDescent="0.25">
      <c r="A358" s="276">
        <v>347</v>
      </c>
      <c r="B358" s="282" t="s">
        <v>15</v>
      </c>
      <c r="C358" s="281" t="s">
        <v>151</v>
      </c>
      <c r="D358" s="281" t="s">
        <v>127</v>
      </c>
      <c r="E358" s="281" t="s">
        <v>462</v>
      </c>
      <c r="F358" s="276">
        <v>120</v>
      </c>
      <c r="G358" s="27">
        <f>102542.17+9200</f>
        <v>111742.17</v>
      </c>
      <c r="H358" s="27">
        <v>111742.17</v>
      </c>
      <c r="I358" s="146">
        <v>110961.57</v>
      </c>
      <c r="J358" s="207">
        <f t="shared" si="181"/>
        <v>99.301427563112483</v>
      </c>
      <c r="M358" s="295"/>
      <c r="N358" s="295"/>
      <c r="O358" s="295"/>
    </row>
    <row r="359" spans="1:15" x14ac:dyDescent="0.25">
      <c r="A359" s="276">
        <v>348</v>
      </c>
      <c r="B359" s="282" t="s">
        <v>19</v>
      </c>
      <c r="C359" s="281" t="s">
        <v>151</v>
      </c>
      <c r="D359" s="281" t="s">
        <v>127</v>
      </c>
      <c r="E359" s="281" t="s">
        <v>462</v>
      </c>
      <c r="F359" s="276">
        <v>200</v>
      </c>
      <c r="G359" s="27">
        <f>G360</f>
        <v>3692.38</v>
      </c>
      <c r="H359" s="27">
        <f t="shared" ref="H359:I359" si="200">H360</f>
        <v>3692.38</v>
      </c>
      <c r="I359" s="27">
        <f t="shared" si="200"/>
        <v>3692.38</v>
      </c>
      <c r="J359" s="207">
        <f t="shared" si="181"/>
        <v>100</v>
      </c>
      <c r="M359" s="295"/>
      <c r="N359" s="295"/>
      <c r="O359" s="295"/>
    </row>
    <row r="360" spans="1:15" x14ac:dyDescent="0.25">
      <c r="A360" s="276">
        <v>349</v>
      </c>
      <c r="B360" s="282" t="s">
        <v>20</v>
      </c>
      <c r="C360" s="281" t="s">
        <v>151</v>
      </c>
      <c r="D360" s="281" t="s">
        <v>127</v>
      </c>
      <c r="E360" s="281" t="s">
        <v>462</v>
      </c>
      <c r="F360" s="276">
        <v>240</v>
      </c>
      <c r="G360" s="27">
        <f>3657.83+34.55</f>
        <v>3692.38</v>
      </c>
      <c r="H360" s="27">
        <v>3692.38</v>
      </c>
      <c r="I360" s="146">
        <v>3692.38</v>
      </c>
      <c r="J360" s="207">
        <f t="shared" si="181"/>
        <v>100</v>
      </c>
      <c r="M360" s="295"/>
      <c r="N360" s="295"/>
      <c r="O360" s="295"/>
    </row>
    <row r="361" spans="1:15" ht="36" customHeight="1" x14ac:dyDescent="0.25">
      <c r="A361" s="276">
        <v>350</v>
      </c>
      <c r="B361" s="308" t="s">
        <v>230</v>
      </c>
      <c r="C361" s="281" t="s">
        <v>151</v>
      </c>
      <c r="D361" s="41"/>
      <c r="E361" s="42"/>
      <c r="F361" s="41"/>
      <c r="G361" s="44">
        <f t="shared" ref="G361:I364" si="201">G362</f>
        <v>7700503.2400000002</v>
      </c>
      <c r="H361" s="44">
        <f t="shared" si="201"/>
        <v>7700503.2400000002</v>
      </c>
      <c r="I361" s="44">
        <f t="shared" si="201"/>
        <v>7684830.1200000001</v>
      </c>
      <c r="J361" s="207">
        <f t="shared" si="181"/>
        <v>99.796466289130464</v>
      </c>
      <c r="M361" s="295"/>
      <c r="N361" s="295"/>
      <c r="O361" s="295"/>
    </row>
    <row r="362" spans="1:15" x14ac:dyDescent="0.25">
      <c r="A362" s="276">
        <v>351</v>
      </c>
      <c r="B362" s="304" t="s">
        <v>97</v>
      </c>
      <c r="C362" s="281" t="s">
        <v>151</v>
      </c>
      <c r="D362" s="281" t="s">
        <v>98</v>
      </c>
      <c r="E362" s="281"/>
      <c r="F362" s="276"/>
      <c r="G362" s="27">
        <f t="shared" si="201"/>
        <v>7700503.2400000002</v>
      </c>
      <c r="H362" s="27">
        <f t="shared" si="201"/>
        <v>7700503.2400000002</v>
      </c>
      <c r="I362" s="27">
        <f t="shared" si="201"/>
        <v>7684830.1200000001</v>
      </c>
      <c r="J362" s="207">
        <f t="shared" si="181"/>
        <v>99.796466289130464</v>
      </c>
      <c r="M362" s="295"/>
      <c r="N362" s="295"/>
      <c r="O362" s="295"/>
    </row>
    <row r="363" spans="1:15" ht="30" x14ac:dyDescent="0.25">
      <c r="A363" s="276">
        <v>352</v>
      </c>
      <c r="B363" s="282" t="s">
        <v>73</v>
      </c>
      <c r="C363" s="281" t="s">
        <v>151</v>
      </c>
      <c r="D363" s="281" t="s">
        <v>375</v>
      </c>
      <c r="E363" s="281"/>
      <c r="F363" s="276"/>
      <c r="G363" s="27">
        <f t="shared" si="201"/>
        <v>7700503.2400000002</v>
      </c>
      <c r="H363" s="27">
        <f t="shared" si="201"/>
        <v>7700503.2400000002</v>
      </c>
      <c r="I363" s="27">
        <f t="shared" si="201"/>
        <v>7684830.1200000001</v>
      </c>
      <c r="J363" s="207">
        <f t="shared" si="181"/>
        <v>99.796466289130464</v>
      </c>
      <c r="M363" s="295"/>
      <c r="N363" s="295"/>
      <c r="O363" s="295"/>
    </row>
    <row r="364" spans="1:15" ht="30" x14ac:dyDescent="0.25">
      <c r="A364" s="276">
        <v>353</v>
      </c>
      <c r="B364" s="277" t="s">
        <v>146</v>
      </c>
      <c r="C364" s="281" t="s">
        <v>151</v>
      </c>
      <c r="D364" s="281" t="s">
        <v>375</v>
      </c>
      <c r="E364" s="281" t="s">
        <v>185</v>
      </c>
      <c r="F364" s="276"/>
      <c r="G364" s="27">
        <f t="shared" si="201"/>
        <v>7700503.2400000002</v>
      </c>
      <c r="H364" s="27">
        <f t="shared" si="201"/>
        <v>7700503.2400000002</v>
      </c>
      <c r="I364" s="27">
        <f t="shared" si="201"/>
        <v>7684830.1200000001</v>
      </c>
      <c r="J364" s="207">
        <f t="shared" si="181"/>
        <v>99.796466289130464</v>
      </c>
      <c r="M364" s="295"/>
      <c r="N364" s="295"/>
      <c r="O364" s="295"/>
    </row>
    <row r="365" spans="1:15" ht="30" x14ac:dyDescent="0.25">
      <c r="A365" s="276">
        <v>354</v>
      </c>
      <c r="B365" s="309" t="s">
        <v>290</v>
      </c>
      <c r="C365" s="281" t="s">
        <v>151</v>
      </c>
      <c r="D365" s="281" t="s">
        <v>375</v>
      </c>
      <c r="E365" s="281" t="s">
        <v>186</v>
      </c>
      <c r="F365" s="276"/>
      <c r="G365" s="27">
        <f>G366+G373</f>
        <v>7700503.2400000002</v>
      </c>
      <c r="H365" s="27">
        <f t="shared" ref="H365:I365" si="202">H366+H373</f>
        <v>7700503.2400000002</v>
      </c>
      <c r="I365" s="27">
        <f t="shared" si="202"/>
        <v>7684830.1200000001</v>
      </c>
      <c r="J365" s="207">
        <f t="shared" si="181"/>
        <v>99.796466289130464</v>
      </c>
      <c r="M365" s="295"/>
      <c r="N365" s="295"/>
      <c r="O365" s="295"/>
    </row>
    <row r="366" spans="1:15" ht="60" x14ac:dyDescent="0.25">
      <c r="A366" s="276">
        <v>355</v>
      </c>
      <c r="B366" s="277" t="s">
        <v>326</v>
      </c>
      <c r="C366" s="281" t="s">
        <v>151</v>
      </c>
      <c r="D366" s="281" t="s">
        <v>375</v>
      </c>
      <c r="E366" s="281" t="s">
        <v>284</v>
      </c>
      <c r="F366" s="276"/>
      <c r="G366" s="27">
        <f t="shared" ref="G366:I366" si="203">G367+G369+G371</f>
        <v>7690503.2400000002</v>
      </c>
      <c r="H366" s="27">
        <f t="shared" si="203"/>
        <v>7690503.2400000002</v>
      </c>
      <c r="I366" s="27">
        <f t="shared" si="203"/>
        <v>7674830.1200000001</v>
      </c>
      <c r="J366" s="207">
        <f t="shared" si="181"/>
        <v>99.796201633223674</v>
      </c>
      <c r="M366" s="295"/>
      <c r="N366" s="295"/>
      <c r="O366" s="295"/>
    </row>
    <row r="367" spans="1:15" ht="45" x14ac:dyDescent="0.25">
      <c r="A367" s="276">
        <v>356</v>
      </c>
      <c r="B367" s="282" t="s">
        <v>14</v>
      </c>
      <c r="C367" s="281" t="s">
        <v>151</v>
      </c>
      <c r="D367" s="281" t="s">
        <v>375</v>
      </c>
      <c r="E367" s="281" t="s">
        <v>284</v>
      </c>
      <c r="F367" s="276">
        <v>100</v>
      </c>
      <c r="G367" s="27">
        <f t="shared" ref="G367:I367" si="204">G368</f>
        <v>6829763.2400000002</v>
      </c>
      <c r="H367" s="27">
        <f t="shared" si="204"/>
        <v>6829763.2400000002</v>
      </c>
      <c r="I367" s="27">
        <f t="shared" si="204"/>
        <v>6816741.3200000003</v>
      </c>
      <c r="J367" s="207">
        <f t="shared" si="181"/>
        <v>99.809335704000191</v>
      </c>
      <c r="M367" s="295"/>
      <c r="N367" s="295"/>
      <c r="O367" s="295"/>
    </row>
    <row r="368" spans="1:15" x14ac:dyDescent="0.25">
      <c r="A368" s="276">
        <v>357</v>
      </c>
      <c r="B368" s="282" t="s">
        <v>62</v>
      </c>
      <c r="C368" s="281" t="s">
        <v>151</v>
      </c>
      <c r="D368" s="281" t="s">
        <v>375</v>
      </c>
      <c r="E368" s="281" t="s">
        <v>284</v>
      </c>
      <c r="F368" s="276">
        <v>110</v>
      </c>
      <c r="G368" s="27">
        <f>6002941.16+696049+130773.08</f>
        <v>6829763.2400000002</v>
      </c>
      <c r="H368" s="27">
        <v>6829763.2400000002</v>
      </c>
      <c r="I368" s="146">
        <v>6816741.3200000003</v>
      </c>
      <c r="J368" s="207">
        <f t="shared" si="181"/>
        <v>99.809335704000191</v>
      </c>
      <c r="M368" s="295"/>
      <c r="N368" s="295"/>
      <c r="O368" s="295"/>
    </row>
    <row r="369" spans="1:15" x14ac:dyDescent="0.25">
      <c r="A369" s="276">
        <v>358</v>
      </c>
      <c r="B369" s="282" t="s">
        <v>19</v>
      </c>
      <c r="C369" s="281" t="s">
        <v>151</v>
      </c>
      <c r="D369" s="281" t="s">
        <v>375</v>
      </c>
      <c r="E369" s="281" t="s">
        <v>284</v>
      </c>
      <c r="F369" s="276">
        <v>200</v>
      </c>
      <c r="G369" s="27">
        <f t="shared" ref="G369:I369" si="205">G370</f>
        <v>860240</v>
      </c>
      <c r="H369" s="27">
        <f t="shared" si="205"/>
        <v>860240</v>
      </c>
      <c r="I369" s="27">
        <f t="shared" si="205"/>
        <v>858088.8</v>
      </c>
      <c r="J369" s="207">
        <f t="shared" si="181"/>
        <v>99.749930252022693</v>
      </c>
      <c r="M369" s="295"/>
      <c r="N369" s="295"/>
      <c r="O369" s="295"/>
    </row>
    <row r="370" spans="1:15" x14ac:dyDescent="0.25">
      <c r="A370" s="276">
        <v>359</v>
      </c>
      <c r="B370" s="282" t="s">
        <v>20</v>
      </c>
      <c r="C370" s="281" t="s">
        <v>151</v>
      </c>
      <c r="D370" s="281" t="s">
        <v>375</v>
      </c>
      <c r="E370" s="281" t="s">
        <v>284</v>
      </c>
      <c r="F370" s="276">
        <v>240</v>
      </c>
      <c r="G370" s="27">
        <f>862240-410-1590</f>
        <v>860240</v>
      </c>
      <c r="H370" s="27">
        <v>860240</v>
      </c>
      <c r="I370" s="146">
        <v>858088.8</v>
      </c>
      <c r="J370" s="207">
        <f t="shared" si="181"/>
        <v>99.749930252022693</v>
      </c>
      <c r="M370" s="295"/>
      <c r="N370" s="295"/>
      <c r="O370" s="295"/>
    </row>
    <row r="371" spans="1:15" x14ac:dyDescent="0.25">
      <c r="A371" s="276">
        <v>360</v>
      </c>
      <c r="B371" s="282" t="s">
        <v>31</v>
      </c>
      <c r="C371" s="281" t="s">
        <v>151</v>
      </c>
      <c r="D371" s="281" t="s">
        <v>375</v>
      </c>
      <c r="E371" s="281" t="s">
        <v>284</v>
      </c>
      <c r="F371" s="276">
        <v>800</v>
      </c>
      <c r="G371" s="27">
        <f t="shared" ref="G371" si="206">G372</f>
        <v>500</v>
      </c>
      <c r="H371" s="27">
        <f t="shared" ref="H371:I371" si="207">H372</f>
        <v>500</v>
      </c>
      <c r="I371" s="27">
        <f t="shared" si="207"/>
        <v>0</v>
      </c>
      <c r="J371" s="207">
        <f t="shared" si="181"/>
        <v>0</v>
      </c>
      <c r="M371" s="295"/>
      <c r="N371" s="295"/>
      <c r="O371" s="295"/>
    </row>
    <row r="372" spans="1:15" x14ac:dyDescent="0.25">
      <c r="A372" s="276">
        <v>361</v>
      </c>
      <c r="B372" s="282" t="s">
        <v>79</v>
      </c>
      <c r="C372" s="281" t="s">
        <v>151</v>
      </c>
      <c r="D372" s="281" t="s">
        <v>375</v>
      </c>
      <c r="E372" s="281" t="s">
        <v>284</v>
      </c>
      <c r="F372" s="276">
        <v>850</v>
      </c>
      <c r="G372" s="27">
        <v>500</v>
      </c>
      <c r="H372" s="27">
        <v>500</v>
      </c>
      <c r="I372" s="146">
        <v>0</v>
      </c>
      <c r="J372" s="207">
        <f t="shared" si="181"/>
        <v>0</v>
      </c>
      <c r="M372" s="295"/>
      <c r="N372" s="295"/>
      <c r="O372" s="295"/>
    </row>
    <row r="373" spans="1:15" x14ac:dyDescent="0.25">
      <c r="A373" s="276">
        <v>362</v>
      </c>
      <c r="B373" s="283" t="s">
        <v>285</v>
      </c>
      <c r="C373" s="281" t="s">
        <v>151</v>
      </c>
      <c r="D373" s="281" t="s">
        <v>375</v>
      </c>
      <c r="E373" s="281" t="s">
        <v>286</v>
      </c>
      <c r="F373" s="276"/>
      <c r="G373" s="27">
        <f t="shared" ref="G373:I374" si="208">G374</f>
        <v>10000</v>
      </c>
      <c r="H373" s="27">
        <f t="shared" si="208"/>
        <v>10000</v>
      </c>
      <c r="I373" s="27">
        <f t="shared" si="208"/>
        <v>10000</v>
      </c>
      <c r="J373" s="207">
        <f t="shared" si="181"/>
        <v>100</v>
      </c>
      <c r="K373" s="46"/>
      <c r="L373" s="46"/>
      <c r="M373" s="295"/>
      <c r="N373" s="295"/>
      <c r="O373" s="295"/>
    </row>
    <row r="374" spans="1:15" x14ac:dyDescent="0.25">
      <c r="A374" s="276">
        <v>363</v>
      </c>
      <c r="B374" s="282" t="s">
        <v>19</v>
      </c>
      <c r="C374" s="281" t="s">
        <v>151</v>
      </c>
      <c r="D374" s="281" t="s">
        <v>375</v>
      </c>
      <c r="E374" s="281" t="s">
        <v>286</v>
      </c>
      <c r="F374" s="276">
        <v>200</v>
      </c>
      <c r="G374" s="27">
        <f t="shared" si="208"/>
        <v>10000</v>
      </c>
      <c r="H374" s="27">
        <f t="shared" si="208"/>
        <v>10000</v>
      </c>
      <c r="I374" s="27">
        <f t="shared" si="208"/>
        <v>10000</v>
      </c>
      <c r="J374" s="207">
        <f t="shared" si="181"/>
        <v>100</v>
      </c>
      <c r="K374" s="46"/>
      <c r="L374" s="46"/>
      <c r="M374" s="295"/>
      <c r="N374" s="295"/>
      <c r="O374" s="295"/>
    </row>
    <row r="375" spans="1:15" x14ac:dyDescent="0.25">
      <c r="A375" s="276">
        <v>364</v>
      </c>
      <c r="B375" s="282" t="s">
        <v>20</v>
      </c>
      <c r="C375" s="281" t="s">
        <v>151</v>
      </c>
      <c r="D375" s="281" t="s">
        <v>375</v>
      </c>
      <c r="E375" s="281" t="s">
        <v>286</v>
      </c>
      <c r="F375" s="276">
        <v>240</v>
      </c>
      <c r="G375" s="27">
        <f>1000+2000+7000</f>
        <v>10000</v>
      </c>
      <c r="H375" s="27">
        <v>10000</v>
      </c>
      <c r="I375" s="27">
        <v>10000</v>
      </c>
      <c r="J375" s="207">
        <f t="shared" si="181"/>
        <v>100</v>
      </c>
      <c r="K375" s="46"/>
      <c r="L375" s="46"/>
      <c r="M375" s="295"/>
      <c r="N375" s="295"/>
      <c r="O375" s="295"/>
    </row>
    <row r="376" spans="1:15" ht="28.5" x14ac:dyDescent="0.25">
      <c r="A376" s="276">
        <v>365</v>
      </c>
      <c r="B376" s="308" t="s">
        <v>231</v>
      </c>
      <c r="C376" s="281" t="s">
        <v>151</v>
      </c>
      <c r="D376" s="276"/>
      <c r="E376" s="281"/>
      <c r="F376" s="276"/>
      <c r="G376" s="44">
        <f t="shared" ref="G376:I376" si="209">G377</f>
        <v>3298241.0199999996</v>
      </c>
      <c r="H376" s="44">
        <f t="shared" si="209"/>
        <v>3298241.02</v>
      </c>
      <c r="I376" s="44">
        <f t="shared" si="209"/>
        <v>3264063.34</v>
      </c>
      <c r="J376" s="207">
        <f t="shared" si="181"/>
        <v>98.963760386437741</v>
      </c>
      <c r="M376" s="295"/>
      <c r="N376" s="295"/>
      <c r="O376" s="295"/>
    </row>
    <row r="377" spans="1:15" x14ac:dyDescent="0.25">
      <c r="A377" s="276">
        <v>366</v>
      </c>
      <c r="B377" s="298" t="s">
        <v>84</v>
      </c>
      <c r="C377" s="281" t="s">
        <v>151</v>
      </c>
      <c r="D377" s="281" t="s">
        <v>85</v>
      </c>
      <c r="E377" s="281"/>
      <c r="F377" s="276"/>
      <c r="G377" s="27">
        <f t="shared" ref="G377:I377" si="210">G378</f>
        <v>3298241.0199999996</v>
      </c>
      <c r="H377" s="27">
        <f t="shared" si="210"/>
        <v>3298241.02</v>
      </c>
      <c r="I377" s="27">
        <f t="shared" si="210"/>
        <v>3264063.34</v>
      </c>
      <c r="J377" s="207">
        <f t="shared" si="181"/>
        <v>98.963760386437741</v>
      </c>
      <c r="M377" s="295"/>
      <c r="N377" s="295"/>
      <c r="O377" s="295"/>
    </row>
    <row r="378" spans="1:15" x14ac:dyDescent="0.25">
      <c r="A378" s="276">
        <v>367</v>
      </c>
      <c r="B378" s="277" t="s">
        <v>59</v>
      </c>
      <c r="C378" s="281" t="s">
        <v>151</v>
      </c>
      <c r="D378" s="281" t="s">
        <v>93</v>
      </c>
      <c r="E378" s="281"/>
      <c r="F378" s="276"/>
      <c r="G378" s="27">
        <f t="shared" ref="G378:I378" si="211">G379</f>
        <v>3298241.0199999996</v>
      </c>
      <c r="H378" s="27">
        <f t="shared" si="211"/>
        <v>3298241.02</v>
      </c>
      <c r="I378" s="27">
        <f t="shared" si="211"/>
        <v>3264063.34</v>
      </c>
      <c r="J378" s="207">
        <f t="shared" si="181"/>
        <v>98.963760386437741</v>
      </c>
      <c r="M378" s="295"/>
      <c r="N378" s="295"/>
      <c r="O378" s="295"/>
    </row>
    <row r="379" spans="1:15" x14ac:dyDescent="0.25">
      <c r="A379" s="276">
        <v>368</v>
      </c>
      <c r="B379" s="277" t="s">
        <v>324</v>
      </c>
      <c r="C379" s="281" t="s">
        <v>151</v>
      </c>
      <c r="D379" s="281" t="s">
        <v>93</v>
      </c>
      <c r="E379" s="281" t="s">
        <v>187</v>
      </c>
      <c r="F379" s="276"/>
      <c r="G379" s="27">
        <f t="shared" ref="G379:I379" si="212">G380</f>
        <v>3298241.0199999996</v>
      </c>
      <c r="H379" s="27">
        <f t="shared" si="212"/>
        <v>3298241.02</v>
      </c>
      <c r="I379" s="27">
        <f t="shared" si="212"/>
        <v>3264063.34</v>
      </c>
      <c r="J379" s="207">
        <f t="shared" si="181"/>
        <v>98.963760386437741</v>
      </c>
      <c r="M379" s="295"/>
      <c r="N379" s="295"/>
      <c r="O379" s="295"/>
    </row>
    <row r="380" spans="1:15" x14ac:dyDescent="0.25">
      <c r="A380" s="276">
        <v>369</v>
      </c>
      <c r="B380" s="277" t="s">
        <v>60</v>
      </c>
      <c r="C380" s="281" t="s">
        <v>151</v>
      </c>
      <c r="D380" s="281" t="s">
        <v>93</v>
      </c>
      <c r="E380" s="281" t="s">
        <v>188</v>
      </c>
      <c r="F380" s="276"/>
      <c r="G380" s="27">
        <f>G381+G388</f>
        <v>3298241.0199999996</v>
      </c>
      <c r="H380" s="27">
        <f t="shared" ref="H380:I380" si="213">H381+H388</f>
        <v>3298241.02</v>
      </c>
      <c r="I380" s="27">
        <f t="shared" si="213"/>
        <v>3264063.34</v>
      </c>
      <c r="J380" s="207">
        <f t="shared" si="181"/>
        <v>98.963760386437741</v>
      </c>
      <c r="M380" s="295"/>
      <c r="N380" s="295"/>
      <c r="O380" s="295"/>
    </row>
    <row r="381" spans="1:15" ht="45" x14ac:dyDescent="0.25">
      <c r="A381" s="276">
        <v>370</v>
      </c>
      <c r="B381" s="277" t="s">
        <v>325</v>
      </c>
      <c r="C381" s="281" t="s">
        <v>151</v>
      </c>
      <c r="D381" s="281" t="s">
        <v>93</v>
      </c>
      <c r="E381" s="281" t="s">
        <v>189</v>
      </c>
      <c r="F381" s="276"/>
      <c r="G381" s="27">
        <f t="shared" ref="G381:H381" si="214">G382+G384+G386</f>
        <v>2876841.0199999996</v>
      </c>
      <c r="H381" s="27">
        <f t="shared" si="214"/>
        <v>2876841.02</v>
      </c>
      <c r="I381" s="27">
        <f t="shared" ref="I381" si="215">I382+I384+I386</f>
        <v>2846310.44</v>
      </c>
      <c r="J381" s="207">
        <f t="shared" si="181"/>
        <v>98.938746361451706</v>
      </c>
      <c r="M381" s="295"/>
      <c r="N381" s="295"/>
      <c r="O381" s="295"/>
    </row>
    <row r="382" spans="1:15" ht="45" x14ac:dyDescent="0.25">
      <c r="A382" s="276">
        <v>371</v>
      </c>
      <c r="B382" s="282" t="s">
        <v>14</v>
      </c>
      <c r="C382" s="281" t="s">
        <v>151</v>
      </c>
      <c r="D382" s="281" t="s">
        <v>93</v>
      </c>
      <c r="E382" s="281" t="s">
        <v>189</v>
      </c>
      <c r="F382" s="276">
        <v>100</v>
      </c>
      <c r="G382" s="27">
        <f t="shared" ref="G382:I382" si="216">G383</f>
        <v>2188286.0199999996</v>
      </c>
      <c r="H382" s="27">
        <f t="shared" si="216"/>
        <v>2188286.02</v>
      </c>
      <c r="I382" s="27">
        <f t="shared" si="216"/>
        <v>2158261.6</v>
      </c>
      <c r="J382" s="207">
        <f t="shared" si="181"/>
        <v>98.627948096108582</v>
      </c>
      <c r="M382" s="295"/>
      <c r="N382" s="295"/>
      <c r="O382" s="295"/>
    </row>
    <row r="383" spans="1:15" x14ac:dyDescent="0.25">
      <c r="A383" s="276">
        <v>372</v>
      </c>
      <c r="B383" s="282" t="s">
        <v>62</v>
      </c>
      <c r="C383" s="281" t="s">
        <v>151</v>
      </c>
      <c r="D383" s="281" t="s">
        <v>93</v>
      </c>
      <c r="E383" s="281" t="s">
        <v>189</v>
      </c>
      <c r="F383" s="276">
        <v>110</v>
      </c>
      <c r="G383" s="27">
        <f>1985177.22+191097-50000+62011.8</f>
        <v>2188286.0199999996</v>
      </c>
      <c r="H383" s="27">
        <v>2188286.02</v>
      </c>
      <c r="I383" s="146">
        <v>2158261.6</v>
      </c>
      <c r="J383" s="207">
        <f t="shared" si="181"/>
        <v>98.627948096108582</v>
      </c>
      <c r="M383" s="295"/>
      <c r="N383" s="295"/>
      <c r="O383" s="295"/>
    </row>
    <row r="384" spans="1:15" x14ac:dyDescent="0.25">
      <c r="A384" s="276">
        <v>373</v>
      </c>
      <c r="B384" s="282" t="s">
        <v>19</v>
      </c>
      <c r="C384" s="281" t="s">
        <v>151</v>
      </c>
      <c r="D384" s="281" t="s">
        <v>93</v>
      </c>
      <c r="E384" s="281" t="s">
        <v>189</v>
      </c>
      <c r="F384" s="276">
        <v>200</v>
      </c>
      <c r="G384" s="27">
        <f t="shared" ref="G384" si="217">G385</f>
        <v>688055</v>
      </c>
      <c r="H384" s="27">
        <f t="shared" ref="H384:I384" si="218">H385</f>
        <v>688055</v>
      </c>
      <c r="I384" s="27">
        <f t="shared" si="218"/>
        <v>688048.84</v>
      </c>
      <c r="J384" s="207">
        <f t="shared" si="181"/>
        <v>99.999104722732909</v>
      </c>
      <c r="M384" s="295"/>
      <c r="N384" s="295"/>
      <c r="O384" s="295"/>
    </row>
    <row r="385" spans="1:15" x14ac:dyDescent="0.25">
      <c r="A385" s="276">
        <v>374</v>
      </c>
      <c r="B385" s="282" t="s">
        <v>20</v>
      </c>
      <c r="C385" s="281" t="s">
        <v>151</v>
      </c>
      <c r="D385" s="281" t="s">
        <v>93</v>
      </c>
      <c r="E385" s="281" t="s">
        <v>189</v>
      </c>
      <c r="F385" s="276">
        <v>240</v>
      </c>
      <c r="G385" s="27">
        <v>688055</v>
      </c>
      <c r="H385" s="27">
        <v>688055</v>
      </c>
      <c r="I385" s="146">
        <v>688048.84</v>
      </c>
      <c r="J385" s="207">
        <f t="shared" si="181"/>
        <v>99.999104722732909</v>
      </c>
      <c r="M385" s="295"/>
      <c r="N385" s="295"/>
      <c r="O385" s="295"/>
    </row>
    <row r="386" spans="1:15" x14ac:dyDescent="0.25">
      <c r="A386" s="276">
        <v>375</v>
      </c>
      <c r="B386" s="282" t="s">
        <v>31</v>
      </c>
      <c r="C386" s="281" t="s">
        <v>151</v>
      </c>
      <c r="D386" s="281" t="s">
        <v>93</v>
      </c>
      <c r="E386" s="281" t="s">
        <v>189</v>
      </c>
      <c r="F386" s="276">
        <v>800</v>
      </c>
      <c r="G386" s="27">
        <f t="shared" ref="G386" si="219">G387</f>
        <v>500</v>
      </c>
      <c r="H386" s="27">
        <f t="shared" ref="H386:I386" si="220">H387</f>
        <v>500</v>
      </c>
      <c r="I386" s="27">
        <f t="shared" si="220"/>
        <v>0</v>
      </c>
      <c r="J386" s="207">
        <f t="shared" si="181"/>
        <v>0</v>
      </c>
      <c r="M386" s="295"/>
      <c r="N386" s="295"/>
      <c r="O386" s="295"/>
    </row>
    <row r="387" spans="1:15" x14ac:dyDescent="0.25">
      <c r="A387" s="276">
        <v>376</v>
      </c>
      <c r="B387" s="282" t="s">
        <v>79</v>
      </c>
      <c r="C387" s="281" t="s">
        <v>151</v>
      </c>
      <c r="D387" s="281" t="s">
        <v>93</v>
      </c>
      <c r="E387" s="281" t="s">
        <v>189</v>
      </c>
      <c r="F387" s="276">
        <v>850</v>
      </c>
      <c r="G387" s="27">
        <v>500</v>
      </c>
      <c r="H387" s="27">
        <v>500</v>
      </c>
      <c r="I387" s="146">
        <v>0</v>
      </c>
      <c r="J387" s="207">
        <f t="shared" si="181"/>
        <v>0</v>
      </c>
      <c r="M387" s="295"/>
      <c r="N387" s="295"/>
      <c r="O387" s="295"/>
    </row>
    <row r="388" spans="1:15" ht="45" x14ac:dyDescent="0.25">
      <c r="A388" s="276">
        <v>377</v>
      </c>
      <c r="B388" s="279" t="s">
        <v>323</v>
      </c>
      <c r="C388" s="281" t="s">
        <v>151</v>
      </c>
      <c r="D388" s="281" t="s">
        <v>93</v>
      </c>
      <c r="E388" s="281" t="s">
        <v>190</v>
      </c>
      <c r="F388" s="276"/>
      <c r="G388" s="27">
        <f t="shared" ref="G388:I388" si="221">G389+G391</f>
        <v>421400</v>
      </c>
      <c r="H388" s="27">
        <f t="shared" si="221"/>
        <v>421400</v>
      </c>
      <c r="I388" s="27">
        <f t="shared" si="221"/>
        <v>417752.9</v>
      </c>
      <c r="J388" s="207">
        <f t="shared" si="181"/>
        <v>99.13452776459421</v>
      </c>
      <c r="M388" s="295"/>
      <c r="N388" s="295"/>
      <c r="O388" s="295"/>
    </row>
    <row r="389" spans="1:15" ht="45" x14ac:dyDescent="0.25">
      <c r="A389" s="276">
        <v>378</v>
      </c>
      <c r="B389" s="282" t="s">
        <v>14</v>
      </c>
      <c r="C389" s="281" t="s">
        <v>151</v>
      </c>
      <c r="D389" s="281" t="s">
        <v>93</v>
      </c>
      <c r="E389" s="281" t="s">
        <v>190</v>
      </c>
      <c r="F389" s="276">
        <v>100</v>
      </c>
      <c r="G389" s="27">
        <f t="shared" ref="G389:I389" si="222">G390</f>
        <v>366554.6</v>
      </c>
      <c r="H389" s="27">
        <f t="shared" si="222"/>
        <v>366554.6</v>
      </c>
      <c r="I389" s="27">
        <f t="shared" si="222"/>
        <v>362907.9</v>
      </c>
      <c r="J389" s="207">
        <f t="shared" si="181"/>
        <v>99.005141389577446</v>
      </c>
      <c r="M389" s="295"/>
      <c r="N389" s="295"/>
      <c r="O389" s="295"/>
    </row>
    <row r="390" spans="1:15" x14ac:dyDescent="0.25">
      <c r="A390" s="276">
        <v>379</v>
      </c>
      <c r="B390" s="282" t="s">
        <v>62</v>
      </c>
      <c r="C390" s="281" t="s">
        <v>151</v>
      </c>
      <c r="D390" s="281" t="s">
        <v>93</v>
      </c>
      <c r="E390" s="281" t="s">
        <v>190</v>
      </c>
      <c r="F390" s="276">
        <v>110</v>
      </c>
      <c r="G390" s="27">
        <f>307754.6+58800</f>
        <v>366554.6</v>
      </c>
      <c r="H390" s="27">
        <v>366554.6</v>
      </c>
      <c r="I390" s="146">
        <v>362907.9</v>
      </c>
      <c r="J390" s="207">
        <f t="shared" si="181"/>
        <v>99.005141389577446</v>
      </c>
      <c r="M390" s="295"/>
      <c r="N390" s="295"/>
      <c r="O390" s="295"/>
    </row>
    <row r="391" spans="1:15" x14ac:dyDescent="0.25">
      <c r="A391" s="276">
        <v>380</v>
      </c>
      <c r="B391" s="282" t="s">
        <v>19</v>
      </c>
      <c r="C391" s="281" t="s">
        <v>151</v>
      </c>
      <c r="D391" s="281" t="s">
        <v>93</v>
      </c>
      <c r="E391" s="281" t="s">
        <v>190</v>
      </c>
      <c r="F391" s="276">
        <v>200</v>
      </c>
      <c r="G391" s="27">
        <f t="shared" ref="G391" si="223">G392</f>
        <v>54845.4</v>
      </c>
      <c r="H391" s="27">
        <f t="shared" ref="H391:I391" si="224">H392</f>
        <v>54845.4</v>
      </c>
      <c r="I391" s="27">
        <f t="shared" si="224"/>
        <v>54845</v>
      </c>
      <c r="J391" s="207">
        <f t="shared" si="181"/>
        <v>99.999270677212664</v>
      </c>
      <c r="M391" s="295"/>
      <c r="N391" s="295"/>
      <c r="O391" s="295"/>
    </row>
    <row r="392" spans="1:15" x14ac:dyDescent="0.25">
      <c r="A392" s="276">
        <v>381</v>
      </c>
      <c r="B392" s="282" t="s">
        <v>20</v>
      </c>
      <c r="C392" s="281" t="s">
        <v>151</v>
      </c>
      <c r="D392" s="281" t="s">
        <v>93</v>
      </c>
      <c r="E392" s="281" t="s">
        <v>190</v>
      </c>
      <c r="F392" s="276">
        <v>240</v>
      </c>
      <c r="G392" s="27">
        <v>54845.4</v>
      </c>
      <c r="H392" s="27">
        <v>54845.4</v>
      </c>
      <c r="I392" s="146">
        <v>54845</v>
      </c>
      <c r="J392" s="207">
        <f t="shared" si="181"/>
        <v>99.999270677212664</v>
      </c>
      <c r="M392" s="295"/>
      <c r="N392" s="295"/>
      <c r="O392" s="295"/>
    </row>
    <row r="393" spans="1:15" ht="36.75" customHeight="1" x14ac:dyDescent="0.25">
      <c r="A393" s="276">
        <v>382</v>
      </c>
      <c r="B393" s="308" t="s">
        <v>232</v>
      </c>
      <c r="C393" s="281" t="s">
        <v>151</v>
      </c>
      <c r="D393" s="41"/>
      <c r="E393" s="42"/>
      <c r="F393" s="41"/>
      <c r="G393" s="44">
        <f t="shared" ref="G393:I396" si="225">G394</f>
        <v>82604355.399999991</v>
      </c>
      <c r="H393" s="44">
        <f t="shared" si="225"/>
        <v>82604355.400000006</v>
      </c>
      <c r="I393" s="44">
        <f t="shared" si="225"/>
        <v>82587724.399999991</v>
      </c>
      <c r="J393" s="207">
        <f t="shared" si="181"/>
        <v>99.979866679039517</v>
      </c>
      <c r="M393" s="295"/>
      <c r="N393" s="295"/>
      <c r="O393" s="295"/>
    </row>
    <row r="394" spans="1:15" x14ac:dyDescent="0.25">
      <c r="A394" s="276">
        <v>383</v>
      </c>
      <c r="B394" s="298" t="s">
        <v>84</v>
      </c>
      <c r="C394" s="281" t="s">
        <v>151</v>
      </c>
      <c r="D394" s="281" t="s">
        <v>85</v>
      </c>
      <c r="E394" s="281"/>
      <c r="F394" s="276"/>
      <c r="G394" s="27">
        <f t="shared" si="225"/>
        <v>82604355.399999991</v>
      </c>
      <c r="H394" s="27">
        <f t="shared" si="225"/>
        <v>82604355.400000006</v>
      </c>
      <c r="I394" s="27">
        <f t="shared" si="225"/>
        <v>82587724.399999991</v>
      </c>
      <c r="J394" s="207">
        <f t="shared" si="181"/>
        <v>99.979866679039517</v>
      </c>
      <c r="M394" s="295"/>
      <c r="N394" s="295"/>
      <c r="O394" s="295"/>
    </row>
    <row r="395" spans="1:15" x14ac:dyDescent="0.25">
      <c r="A395" s="276">
        <v>384</v>
      </c>
      <c r="B395" s="277" t="s">
        <v>34</v>
      </c>
      <c r="C395" s="281" t="s">
        <v>151</v>
      </c>
      <c r="D395" s="281" t="s">
        <v>93</v>
      </c>
      <c r="E395" s="281"/>
      <c r="F395" s="276"/>
      <c r="G395" s="27">
        <f t="shared" si="225"/>
        <v>82604355.399999991</v>
      </c>
      <c r="H395" s="27">
        <f t="shared" si="225"/>
        <v>82604355.400000006</v>
      </c>
      <c r="I395" s="27">
        <f t="shared" si="225"/>
        <v>82587724.399999991</v>
      </c>
      <c r="J395" s="207">
        <f t="shared" si="181"/>
        <v>99.979866679039517</v>
      </c>
      <c r="M395" s="295"/>
      <c r="N395" s="295"/>
      <c r="O395" s="295"/>
    </row>
    <row r="396" spans="1:15" x14ac:dyDescent="0.25">
      <c r="A396" s="276">
        <v>385</v>
      </c>
      <c r="B396" s="277" t="s">
        <v>271</v>
      </c>
      <c r="C396" s="281" t="s">
        <v>151</v>
      </c>
      <c r="D396" s="281" t="s">
        <v>93</v>
      </c>
      <c r="E396" s="281" t="s">
        <v>268</v>
      </c>
      <c r="F396" s="276"/>
      <c r="G396" s="27">
        <f t="shared" si="225"/>
        <v>82604355.399999991</v>
      </c>
      <c r="H396" s="27">
        <f t="shared" si="225"/>
        <v>82604355.400000006</v>
      </c>
      <c r="I396" s="27">
        <f t="shared" si="225"/>
        <v>82587724.399999991</v>
      </c>
      <c r="J396" s="207">
        <f t="shared" si="181"/>
        <v>99.979866679039517</v>
      </c>
      <c r="M396" s="295"/>
      <c r="N396" s="295"/>
      <c r="O396" s="295"/>
    </row>
    <row r="397" spans="1:15" x14ac:dyDescent="0.25">
      <c r="A397" s="276">
        <v>386</v>
      </c>
      <c r="B397" s="277" t="s">
        <v>270</v>
      </c>
      <c r="C397" s="281" t="s">
        <v>151</v>
      </c>
      <c r="D397" s="281" t="s">
        <v>93</v>
      </c>
      <c r="E397" s="281" t="s">
        <v>269</v>
      </c>
      <c r="F397" s="276"/>
      <c r="G397" s="27">
        <f>G398+G405</f>
        <v>82604355.399999991</v>
      </c>
      <c r="H397" s="27">
        <f t="shared" ref="H397:I397" si="226">H398+H405</f>
        <v>82604355.400000006</v>
      </c>
      <c r="I397" s="27">
        <f t="shared" si="226"/>
        <v>82587724.399999991</v>
      </c>
      <c r="J397" s="207">
        <f t="shared" ref="J397:J460" si="227">I397/H397*100</f>
        <v>99.979866679039517</v>
      </c>
      <c r="M397" s="295"/>
      <c r="N397" s="295"/>
      <c r="O397" s="295"/>
    </row>
    <row r="398" spans="1:15" x14ac:dyDescent="0.25">
      <c r="A398" s="276">
        <v>387</v>
      </c>
      <c r="B398" s="277" t="s">
        <v>295</v>
      </c>
      <c r="C398" s="281" t="s">
        <v>151</v>
      </c>
      <c r="D398" s="281" t="s">
        <v>93</v>
      </c>
      <c r="E398" s="281" t="s">
        <v>272</v>
      </c>
      <c r="F398" s="276"/>
      <c r="G398" s="27">
        <f t="shared" ref="G398:H398" si="228">G399+G401+G403</f>
        <v>81292519.899999991</v>
      </c>
      <c r="H398" s="27">
        <f t="shared" si="228"/>
        <v>81292519.900000006</v>
      </c>
      <c r="I398" s="27">
        <f t="shared" ref="I398" si="229">I399+I401+I403</f>
        <v>81275888.899999991</v>
      </c>
      <c r="J398" s="207">
        <f t="shared" si="227"/>
        <v>99.979541783154872</v>
      </c>
      <c r="M398" s="295"/>
      <c r="N398" s="295"/>
      <c r="O398" s="295"/>
    </row>
    <row r="399" spans="1:15" ht="45" x14ac:dyDescent="0.25">
      <c r="A399" s="276">
        <v>388</v>
      </c>
      <c r="B399" s="282" t="s">
        <v>14</v>
      </c>
      <c r="C399" s="281" t="s">
        <v>151</v>
      </c>
      <c r="D399" s="281" t="s">
        <v>93</v>
      </c>
      <c r="E399" s="281" t="s">
        <v>272</v>
      </c>
      <c r="F399" s="276">
        <v>100</v>
      </c>
      <c r="G399" s="27">
        <f t="shared" ref="G399:I399" si="230">G400</f>
        <v>78531498.899999991</v>
      </c>
      <c r="H399" s="27">
        <f t="shared" si="230"/>
        <v>78531498.900000006</v>
      </c>
      <c r="I399" s="27">
        <f t="shared" si="230"/>
        <v>78530508.519999996</v>
      </c>
      <c r="J399" s="207">
        <f t="shared" si="227"/>
        <v>99.998738875465406</v>
      </c>
      <c r="M399" s="295"/>
      <c r="N399" s="295"/>
      <c r="O399" s="295"/>
    </row>
    <row r="400" spans="1:15" x14ac:dyDescent="0.25">
      <c r="A400" s="276">
        <v>389</v>
      </c>
      <c r="B400" s="282" t="s">
        <v>62</v>
      </c>
      <c r="C400" s="281" t="s">
        <v>151</v>
      </c>
      <c r="D400" s="281" t="s">
        <v>93</v>
      </c>
      <c r="E400" s="281" t="s">
        <v>272</v>
      </c>
      <c r="F400" s="276">
        <v>110</v>
      </c>
      <c r="G400" s="27">
        <f>68915063.33-1263829.5+228391.63+6833938+1506208.8+2311726.64</f>
        <v>78531498.899999991</v>
      </c>
      <c r="H400" s="27">
        <v>78531498.900000006</v>
      </c>
      <c r="I400" s="146">
        <v>78530508.519999996</v>
      </c>
      <c r="J400" s="207">
        <f t="shared" si="227"/>
        <v>99.998738875465406</v>
      </c>
      <c r="M400" s="295"/>
      <c r="N400" s="295"/>
      <c r="O400" s="295"/>
    </row>
    <row r="401" spans="1:15" x14ac:dyDescent="0.25">
      <c r="A401" s="276">
        <v>390</v>
      </c>
      <c r="B401" s="282" t="s">
        <v>19</v>
      </c>
      <c r="C401" s="281" t="s">
        <v>151</v>
      </c>
      <c r="D401" s="281" t="s">
        <v>93</v>
      </c>
      <c r="E401" s="281" t="s">
        <v>272</v>
      </c>
      <c r="F401" s="276">
        <v>200</v>
      </c>
      <c r="G401" s="27">
        <f t="shared" ref="G401:I403" si="231">G402</f>
        <v>2732418</v>
      </c>
      <c r="H401" s="27">
        <f t="shared" si="231"/>
        <v>2732418</v>
      </c>
      <c r="I401" s="27">
        <f t="shared" si="231"/>
        <v>2721776.38</v>
      </c>
      <c r="J401" s="207">
        <f t="shared" si="227"/>
        <v>99.61054201809533</v>
      </c>
      <c r="M401" s="295"/>
      <c r="N401" s="295"/>
      <c r="O401" s="295"/>
    </row>
    <row r="402" spans="1:15" x14ac:dyDescent="0.25">
      <c r="A402" s="276">
        <v>391</v>
      </c>
      <c r="B402" s="282" t="s">
        <v>20</v>
      </c>
      <c r="C402" s="281" t="s">
        <v>151</v>
      </c>
      <c r="D402" s="281" t="s">
        <v>93</v>
      </c>
      <c r="E402" s="281" t="s">
        <v>272</v>
      </c>
      <c r="F402" s="276">
        <v>240</v>
      </c>
      <c r="G402" s="27">
        <v>2732418</v>
      </c>
      <c r="H402" s="27">
        <v>2732418</v>
      </c>
      <c r="I402" s="146">
        <v>2721776.38</v>
      </c>
      <c r="J402" s="207">
        <f t="shared" si="227"/>
        <v>99.61054201809533</v>
      </c>
      <c r="M402" s="295"/>
      <c r="N402" s="295"/>
      <c r="O402" s="295"/>
    </row>
    <row r="403" spans="1:15" x14ac:dyDescent="0.25">
      <c r="A403" s="276">
        <v>392</v>
      </c>
      <c r="B403" s="282" t="s">
        <v>31</v>
      </c>
      <c r="C403" s="281" t="s">
        <v>151</v>
      </c>
      <c r="D403" s="281" t="s">
        <v>93</v>
      </c>
      <c r="E403" s="281" t="s">
        <v>272</v>
      </c>
      <c r="F403" s="276">
        <v>800</v>
      </c>
      <c r="G403" s="27">
        <f t="shared" ref="G403" si="232">G404</f>
        <v>28603</v>
      </c>
      <c r="H403" s="27">
        <f t="shared" si="231"/>
        <v>28603</v>
      </c>
      <c r="I403" s="27">
        <f t="shared" si="231"/>
        <v>23604</v>
      </c>
      <c r="J403" s="207">
        <f t="shared" si="227"/>
        <v>82.522812292416887</v>
      </c>
      <c r="M403" s="295"/>
      <c r="N403" s="295"/>
      <c r="O403" s="295"/>
    </row>
    <row r="404" spans="1:15" x14ac:dyDescent="0.25">
      <c r="A404" s="276">
        <v>393</v>
      </c>
      <c r="B404" s="282" t="s">
        <v>79</v>
      </c>
      <c r="C404" s="281" t="s">
        <v>151</v>
      </c>
      <c r="D404" s="281" t="s">
        <v>93</v>
      </c>
      <c r="E404" s="281" t="s">
        <v>272</v>
      </c>
      <c r="F404" s="276">
        <v>850</v>
      </c>
      <c r="G404" s="27">
        <v>28603</v>
      </c>
      <c r="H404" s="27">
        <v>28603</v>
      </c>
      <c r="I404" s="146">
        <v>23604</v>
      </c>
      <c r="J404" s="207">
        <f t="shared" si="227"/>
        <v>82.522812292416887</v>
      </c>
      <c r="M404" s="295"/>
      <c r="N404" s="295"/>
      <c r="O404" s="295"/>
    </row>
    <row r="405" spans="1:15" ht="30" x14ac:dyDescent="0.25">
      <c r="A405" s="276">
        <v>394</v>
      </c>
      <c r="B405" s="283" t="s">
        <v>321</v>
      </c>
      <c r="C405" s="281" t="s">
        <v>151</v>
      </c>
      <c r="D405" s="281" t="s">
        <v>93</v>
      </c>
      <c r="E405" s="281" t="s">
        <v>322</v>
      </c>
      <c r="F405" s="276"/>
      <c r="G405" s="27">
        <f t="shared" ref="G405:I405" si="233">G406+G408</f>
        <v>1311835.5</v>
      </c>
      <c r="H405" s="27">
        <f t="shared" si="233"/>
        <v>1311835.5</v>
      </c>
      <c r="I405" s="27">
        <f t="shared" si="233"/>
        <v>1311835.5</v>
      </c>
      <c r="J405" s="207">
        <f t="shared" si="227"/>
        <v>100</v>
      </c>
      <c r="M405" s="295"/>
      <c r="N405" s="295"/>
      <c r="O405" s="295"/>
    </row>
    <row r="406" spans="1:15" ht="45" x14ac:dyDescent="0.25">
      <c r="A406" s="276">
        <v>395</v>
      </c>
      <c r="B406" s="282" t="s">
        <v>14</v>
      </c>
      <c r="C406" s="281" t="s">
        <v>151</v>
      </c>
      <c r="D406" s="281" t="s">
        <v>93</v>
      </c>
      <c r="E406" s="281" t="s">
        <v>322</v>
      </c>
      <c r="F406" s="276">
        <v>100</v>
      </c>
      <c r="G406" s="27">
        <f t="shared" ref="G406:I406" si="234">G407</f>
        <v>1263829.5</v>
      </c>
      <c r="H406" s="27">
        <f t="shared" si="234"/>
        <v>1263829.5</v>
      </c>
      <c r="I406" s="27">
        <f t="shared" si="234"/>
        <v>1263829.5</v>
      </c>
      <c r="J406" s="207">
        <f t="shared" si="227"/>
        <v>100</v>
      </c>
      <c r="M406" s="295"/>
      <c r="N406" s="295"/>
      <c r="O406" s="295"/>
    </row>
    <row r="407" spans="1:15" x14ac:dyDescent="0.25">
      <c r="A407" s="276">
        <v>396</v>
      </c>
      <c r="B407" s="282" t="s">
        <v>62</v>
      </c>
      <c r="C407" s="281" t="s">
        <v>151</v>
      </c>
      <c r="D407" s="281" t="s">
        <v>93</v>
      </c>
      <c r="E407" s="281" t="s">
        <v>322</v>
      </c>
      <c r="F407" s="276">
        <v>110</v>
      </c>
      <c r="G407" s="27">
        <v>1263829.5</v>
      </c>
      <c r="H407" s="27">
        <v>1263829.5</v>
      </c>
      <c r="I407" s="27">
        <v>1263829.5</v>
      </c>
      <c r="J407" s="207">
        <f t="shared" si="227"/>
        <v>100</v>
      </c>
      <c r="M407" s="295"/>
      <c r="N407" s="295"/>
      <c r="O407" s="295"/>
    </row>
    <row r="408" spans="1:15" x14ac:dyDescent="0.25">
      <c r="A408" s="276">
        <v>397</v>
      </c>
      <c r="B408" s="282" t="s">
        <v>19</v>
      </c>
      <c r="C408" s="281" t="s">
        <v>151</v>
      </c>
      <c r="D408" s="281" t="s">
        <v>93</v>
      </c>
      <c r="E408" s="281" t="s">
        <v>322</v>
      </c>
      <c r="F408" s="276">
        <v>200</v>
      </c>
      <c r="G408" s="27">
        <f t="shared" ref="G408:I408" si="235">G409</f>
        <v>48006</v>
      </c>
      <c r="H408" s="27">
        <f t="shared" si="235"/>
        <v>48006</v>
      </c>
      <c r="I408" s="27">
        <f t="shared" si="235"/>
        <v>48006</v>
      </c>
      <c r="J408" s="207">
        <f t="shared" si="227"/>
        <v>100</v>
      </c>
      <c r="M408" s="295"/>
      <c r="N408" s="295"/>
      <c r="O408" s="295"/>
    </row>
    <row r="409" spans="1:15" x14ac:dyDescent="0.25">
      <c r="A409" s="276">
        <v>398</v>
      </c>
      <c r="B409" s="282" t="s">
        <v>20</v>
      </c>
      <c r="C409" s="281" t="s">
        <v>151</v>
      </c>
      <c r="D409" s="281" t="s">
        <v>93</v>
      </c>
      <c r="E409" s="281" t="s">
        <v>322</v>
      </c>
      <c r="F409" s="276">
        <v>240</v>
      </c>
      <c r="G409" s="27">
        <v>48006</v>
      </c>
      <c r="H409" s="27">
        <v>48006</v>
      </c>
      <c r="I409" s="27">
        <v>48006</v>
      </c>
      <c r="J409" s="207">
        <f t="shared" si="227"/>
        <v>100</v>
      </c>
      <c r="M409" s="295"/>
      <c r="N409" s="295"/>
      <c r="O409" s="295"/>
    </row>
    <row r="410" spans="1:15" ht="39" customHeight="1" x14ac:dyDescent="0.25">
      <c r="A410" s="276">
        <v>399</v>
      </c>
      <c r="B410" s="308" t="s">
        <v>277</v>
      </c>
      <c r="C410" s="281" t="s">
        <v>151</v>
      </c>
      <c r="D410" s="276"/>
      <c r="E410" s="281"/>
      <c r="F410" s="276"/>
      <c r="G410" s="44">
        <f t="shared" ref="G410:I410" si="236">G411</f>
        <v>10549663.76</v>
      </c>
      <c r="H410" s="44">
        <f t="shared" si="236"/>
        <v>10549663.76</v>
      </c>
      <c r="I410" s="44">
        <f t="shared" si="236"/>
        <v>10130604.049999999</v>
      </c>
      <c r="J410" s="207">
        <f t="shared" si="227"/>
        <v>96.027743447247076</v>
      </c>
      <c r="M410" s="295"/>
      <c r="N410" s="295"/>
      <c r="O410" s="295"/>
    </row>
    <row r="411" spans="1:15" x14ac:dyDescent="0.25">
      <c r="A411" s="276">
        <v>400</v>
      </c>
      <c r="B411" s="298" t="s">
        <v>84</v>
      </c>
      <c r="C411" s="281" t="s">
        <v>151</v>
      </c>
      <c r="D411" s="281" t="s">
        <v>85</v>
      </c>
      <c r="E411" s="281"/>
      <c r="F411" s="276"/>
      <c r="G411" s="27">
        <f t="shared" ref="G411:I411" si="237">G412</f>
        <v>10549663.76</v>
      </c>
      <c r="H411" s="27">
        <f t="shared" si="237"/>
        <v>10549663.76</v>
      </c>
      <c r="I411" s="27">
        <f t="shared" si="237"/>
        <v>10130604.049999999</v>
      </c>
      <c r="J411" s="207">
        <f t="shared" si="227"/>
        <v>96.027743447247076</v>
      </c>
      <c r="M411" s="295"/>
      <c r="N411" s="295"/>
      <c r="O411" s="295"/>
    </row>
    <row r="412" spans="1:15" x14ac:dyDescent="0.25">
      <c r="A412" s="276">
        <v>401</v>
      </c>
      <c r="B412" s="277" t="s">
        <v>34</v>
      </c>
      <c r="C412" s="281" t="s">
        <v>151</v>
      </c>
      <c r="D412" s="281" t="s">
        <v>93</v>
      </c>
      <c r="E412" s="281"/>
      <c r="F412" s="276"/>
      <c r="G412" s="27">
        <f>G413+G422</f>
        <v>10549663.76</v>
      </c>
      <c r="H412" s="27">
        <f>H413+H422</f>
        <v>10549663.76</v>
      </c>
      <c r="I412" s="27">
        <f>I413+I422</f>
        <v>10130604.049999999</v>
      </c>
      <c r="J412" s="207">
        <f t="shared" si="227"/>
        <v>96.027743447247076</v>
      </c>
      <c r="M412" s="295"/>
      <c r="N412" s="295"/>
      <c r="O412" s="295"/>
    </row>
    <row r="413" spans="1:15" x14ac:dyDescent="0.25">
      <c r="A413" s="276">
        <v>402</v>
      </c>
      <c r="B413" s="277" t="s">
        <v>271</v>
      </c>
      <c r="C413" s="281" t="s">
        <v>151</v>
      </c>
      <c r="D413" s="281" t="s">
        <v>93</v>
      </c>
      <c r="E413" s="281">
        <v>9100000000</v>
      </c>
      <c r="F413" s="276"/>
      <c r="G413" s="27">
        <f t="shared" ref="G413:I413" si="238">G414</f>
        <v>9538163.7599999998</v>
      </c>
      <c r="H413" s="27">
        <f t="shared" si="238"/>
        <v>9538163.7599999998</v>
      </c>
      <c r="I413" s="27">
        <f t="shared" si="238"/>
        <v>9419104.0499999989</v>
      </c>
      <c r="J413" s="207">
        <f t="shared" si="227"/>
        <v>98.751754394286053</v>
      </c>
      <c r="M413" s="295"/>
      <c r="N413" s="295"/>
      <c r="O413" s="295"/>
    </row>
    <row r="414" spans="1:15" x14ac:dyDescent="0.25">
      <c r="A414" s="276">
        <v>403</v>
      </c>
      <c r="B414" s="277" t="s">
        <v>278</v>
      </c>
      <c r="C414" s="281" t="s">
        <v>151</v>
      </c>
      <c r="D414" s="281" t="s">
        <v>93</v>
      </c>
      <c r="E414" s="281">
        <v>9150000000</v>
      </c>
      <c r="F414" s="276"/>
      <c r="G414" s="27">
        <f t="shared" ref="G414:I414" si="239">G415</f>
        <v>9538163.7599999998</v>
      </c>
      <c r="H414" s="27">
        <f t="shared" si="239"/>
        <v>9538163.7599999998</v>
      </c>
      <c r="I414" s="27">
        <f t="shared" si="239"/>
        <v>9419104.0499999989</v>
      </c>
      <c r="J414" s="207">
        <f t="shared" si="227"/>
        <v>98.751754394286053</v>
      </c>
      <c r="M414" s="295"/>
      <c r="N414" s="295"/>
      <c r="O414" s="295"/>
    </row>
    <row r="415" spans="1:15" x14ac:dyDescent="0.25">
      <c r="A415" s="276">
        <v>404</v>
      </c>
      <c r="B415" s="277" t="s">
        <v>295</v>
      </c>
      <c r="C415" s="281" t="s">
        <v>151</v>
      </c>
      <c r="D415" s="281" t="s">
        <v>93</v>
      </c>
      <c r="E415" s="281">
        <v>9150000620</v>
      </c>
      <c r="F415" s="276"/>
      <c r="G415" s="27">
        <f t="shared" ref="G415" si="240">G416+G418+G420</f>
        <v>9538163.7599999998</v>
      </c>
      <c r="H415" s="27">
        <f t="shared" ref="H415:I415" si="241">H416+H418+H420</f>
        <v>9538163.7599999998</v>
      </c>
      <c r="I415" s="27">
        <f t="shared" si="241"/>
        <v>9419104.0499999989</v>
      </c>
      <c r="J415" s="207">
        <f t="shared" si="227"/>
        <v>98.751754394286053</v>
      </c>
      <c r="M415" s="295"/>
      <c r="N415" s="295"/>
      <c r="O415" s="295"/>
    </row>
    <row r="416" spans="1:15" ht="45" x14ac:dyDescent="0.25">
      <c r="A416" s="276">
        <v>405</v>
      </c>
      <c r="B416" s="282" t="s">
        <v>14</v>
      </c>
      <c r="C416" s="281" t="s">
        <v>151</v>
      </c>
      <c r="D416" s="281" t="s">
        <v>93</v>
      </c>
      <c r="E416" s="281">
        <v>9150000620</v>
      </c>
      <c r="F416" s="276">
        <v>100</v>
      </c>
      <c r="G416" s="27">
        <f t="shared" ref="G416:I416" si="242">G417</f>
        <v>9056563.7599999998</v>
      </c>
      <c r="H416" s="27">
        <f t="shared" si="242"/>
        <v>9056563.7599999998</v>
      </c>
      <c r="I416" s="27">
        <f t="shared" si="242"/>
        <v>8967724.0399999991</v>
      </c>
      <c r="J416" s="207">
        <f t="shared" si="227"/>
        <v>99.019057091030731</v>
      </c>
      <c r="M416" s="295"/>
      <c r="N416" s="295"/>
      <c r="O416" s="295"/>
    </row>
    <row r="417" spans="1:15" x14ac:dyDescent="0.25">
      <c r="A417" s="276">
        <v>406</v>
      </c>
      <c r="B417" s="282" t="s">
        <v>62</v>
      </c>
      <c r="C417" s="281" t="s">
        <v>151</v>
      </c>
      <c r="D417" s="281" t="s">
        <v>93</v>
      </c>
      <c r="E417" s="281">
        <v>9150000620</v>
      </c>
      <c r="F417" s="276">
        <v>110</v>
      </c>
      <c r="G417" s="27">
        <f>9766538.73+759326-50000-10000-567807.99-15000+16874.32-843367.3</f>
        <v>9056563.7599999998</v>
      </c>
      <c r="H417" s="27">
        <v>9056563.7599999998</v>
      </c>
      <c r="I417" s="146">
        <v>8967724.0399999991</v>
      </c>
      <c r="J417" s="207">
        <f t="shared" si="227"/>
        <v>99.019057091030731</v>
      </c>
      <c r="M417" s="295"/>
      <c r="N417" s="295"/>
      <c r="O417" s="295"/>
    </row>
    <row r="418" spans="1:15" x14ac:dyDescent="0.25">
      <c r="A418" s="276">
        <v>407</v>
      </c>
      <c r="B418" s="282" t="s">
        <v>19</v>
      </c>
      <c r="C418" s="281" t="s">
        <v>151</v>
      </c>
      <c r="D418" s="281" t="s">
        <v>93</v>
      </c>
      <c r="E418" s="281">
        <v>9150000620</v>
      </c>
      <c r="F418" s="276">
        <v>200</v>
      </c>
      <c r="G418" s="27">
        <f t="shared" ref="G418:I418" si="243">G419</f>
        <v>470600</v>
      </c>
      <c r="H418" s="27">
        <f t="shared" si="243"/>
        <v>470600</v>
      </c>
      <c r="I418" s="27">
        <f t="shared" si="243"/>
        <v>441380.01</v>
      </c>
      <c r="J418" s="207">
        <f t="shared" si="227"/>
        <v>93.790907352316196</v>
      </c>
      <c r="M418" s="295"/>
      <c r="N418" s="295"/>
      <c r="O418" s="295"/>
    </row>
    <row r="419" spans="1:15" x14ac:dyDescent="0.25">
      <c r="A419" s="276">
        <v>408</v>
      </c>
      <c r="B419" s="282" t="s">
        <v>20</v>
      </c>
      <c r="C419" s="281" t="s">
        <v>151</v>
      </c>
      <c r="D419" s="281" t="s">
        <v>93</v>
      </c>
      <c r="E419" s="281">
        <v>9150000620</v>
      </c>
      <c r="F419" s="276">
        <v>240</v>
      </c>
      <c r="G419" s="27">
        <f>345600+50000+60000+15000</f>
        <v>470600</v>
      </c>
      <c r="H419" s="27">
        <v>470600</v>
      </c>
      <c r="I419" s="146">
        <v>441380.01</v>
      </c>
      <c r="J419" s="207">
        <f t="shared" si="227"/>
        <v>93.790907352316196</v>
      </c>
      <c r="M419" s="295"/>
      <c r="N419" s="295"/>
      <c r="O419" s="295"/>
    </row>
    <row r="420" spans="1:15" x14ac:dyDescent="0.25">
      <c r="A420" s="276">
        <v>409</v>
      </c>
      <c r="B420" s="282" t="s">
        <v>31</v>
      </c>
      <c r="C420" s="281" t="s">
        <v>151</v>
      </c>
      <c r="D420" s="281" t="s">
        <v>93</v>
      </c>
      <c r="E420" s="281">
        <v>9150000620</v>
      </c>
      <c r="F420" s="276">
        <v>800</v>
      </c>
      <c r="G420" s="27">
        <f t="shared" ref="G420:I420" si="244">G421</f>
        <v>11000</v>
      </c>
      <c r="H420" s="27">
        <f t="shared" si="244"/>
        <v>11000</v>
      </c>
      <c r="I420" s="27">
        <f t="shared" si="244"/>
        <v>10000</v>
      </c>
      <c r="J420" s="207">
        <f t="shared" si="227"/>
        <v>90.909090909090907</v>
      </c>
      <c r="M420" s="295"/>
      <c r="N420" s="295"/>
      <c r="O420" s="295"/>
    </row>
    <row r="421" spans="1:15" x14ac:dyDescent="0.25">
      <c r="A421" s="276">
        <v>410</v>
      </c>
      <c r="B421" s="282" t="s">
        <v>79</v>
      </c>
      <c r="C421" s="281" t="s">
        <v>151</v>
      </c>
      <c r="D421" s="281" t="s">
        <v>93</v>
      </c>
      <c r="E421" s="281">
        <v>9150000620</v>
      </c>
      <c r="F421" s="276">
        <v>850</v>
      </c>
      <c r="G421" s="27">
        <f>1000+10000</f>
        <v>11000</v>
      </c>
      <c r="H421" s="27">
        <v>11000</v>
      </c>
      <c r="I421" s="146">
        <v>10000</v>
      </c>
      <c r="J421" s="207">
        <f t="shared" si="227"/>
        <v>90.909090909090907</v>
      </c>
      <c r="M421" s="295"/>
      <c r="N421" s="295"/>
      <c r="O421" s="295"/>
    </row>
    <row r="422" spans="1:15" x14ac:dyDescent="0.25">
      <c r="A422" s="276">
        <v>411</v>
      </c>
      <c r="B422" s="283" t="s">
        <v>276</v>
      </c>
      <c r="C422" s="281" t="s">
        <v>151</v>
      </c>
      <c r="D422" s="281" t="s">
        <v>93</v>
      </c>
      <c r="E422" s="281" t="s">
        <v>176</v>
      </c>
      <c r="F422" s="276"/>
      <c r="G422" s="27">
        <f t="shared" ref="G422:I422" si="245">G423</f>
        <v>1011500</v>
      </c>
      <c r="H422" s="27">
        <f t="shared" si="245"/>
        <v>1011500</v>
      </c>
      <c r="I422" s="27">
        <f t="shared" si="245"/>
        <v>711500</v>
      </c>
      <c r="J422" s="207">
        <f t="shared" si="227"/>
        <v>70.341077607513597</v>
      </c>
      <c r="M422" s="295"/>
      <c r="N422" s="295"/>
      <c r="O422" s="295"/>
    </row>
    <row r="423" spans="1:15" ht="30" x14ac:dyDescent="0.25">
      <c r="A423" s="276">
        <v>412</v>
      </c>
      <c r="B423" s="277" t="s">
        <v>378</v>
      </c>
      <c r="C423" s="281" t="s">
        <v>151</v>
      </c>
      <c r="D423" s="281" t="s">
        <v>93</v>
      </c>
      <c r="E423" s="281" t="s">
        <v>177</v>
      </c>
      <c r="F423" s="276"/>
      <c r="G423" s="27">
        <f t="shared" ref="G423:H423" si="246">G424+G427</f>
        <v>1011500</v>
      </c>
      <c r="H423" s="27">
        <f t="shared" si="246"/>
        <v>1011500</v>
      </c>
      <c r="I423" s="27">
        <f t="shared" ref="I423" si="247">I424+I427</f>
        <v>711500</v>
      </c>
      <c r="J423" s="207">
        <f t="shared" si="227"/>
        <v>70.341077607513597</v>
      </c>
      <c r="M423" s="295"/>
      <c r="N423" s="295"/>
      <c r="O423" s="295"/>
    </row>
    <row r="424" spans="1:15" ht="45" x14ac:dyDescent="0.25">
      <c r="A424" s="276">
        <v>413</v>
      </c>
      <c r="B424" s="277" t="s">
        <v>360</v>
      </c>
      <c r="C424" s="281" t="s">
        <v>151</v>
      </c>
      <c r="D424" s="281" t="s">
        <v>93</v>
      </c>
      <c r="E424" s="281" t="s">
        <v>279</v>
      </c>
      <c r="F424" s="276"/>
      <c r="G424" s="27">
        <f t="shared" ref="G424:I425" si="248">G425</f>
        <v>700000</v>
      </c>
      <c r="H424" s="27">
        <f t="shared" si="248"/>
        <v>700000</v>
      </c>
      <c r="I424" s="27">
        <f t="shared" si="248"/>
        <v>400000</v>
      </c>
      <c r="J424" s="207">
        <f t="shared" si="227"/>
        <v>57.142857142857139</v>
      </c>
      <c r="M424" s="295"/>
      <c r="N424" s="295"/>
      <c r="O424" s="295"/>
    </row>
    <row r="425" spans="1:15" x14ac:dyDescent="0.25">
      <c r="A425" s="276">
        <v>414</v>
      </c>
      <c r="B425" s="282" t="s">
        <v>19</v>
      </c>
      <c r="C425" s="281" t="s">
        <v>151</v>
      </c>
      <c r="D425" s="281" t="s">
        <v>93</v>
      </c>
      <c r="E425" s="281" t="s">
        <v>279</v>
      </c>
      <c r="F425" s="276">
        <v>200</v>
      </c>
      <c r="G425" s="27">
        <f t="shared" si="248"/>
        <v>700000</v>
      </c>
      <c r="H425" s="27">
        <f t="shared" si="248"/>
        <v>700000</v>
      </c>
      <c r="I425" s="27">
        <f t="shared" si="248"/>
        <v>400000</v>
      </c>
      <c r="J425" s="207">
        <f t="shared" si="227"/>
        <v>57.142857142857139</v>
      </c>
      <c r="M425" s="295"/>
      <c r="N425" s="295"/>
      <c r="O425" s="295"/>
    </row>
    <row r="426" spans="1:15" x14ac:dyDescent="0.25">
      <c r="A426" s="276">
        <v>415</v>
      </c>
      <c r="B426" s="282" t="s">
        <v>20</v>
      </c>
      <c r="C426" s="281" t="s">
        <v>151</v>
      </c>
      <c r="D426" s="281" t="s">
        <v>93</v>
      </c>
      <c r="E426" s="281" t="s">
        <v>279</v>
      </c>
      <c r="F426" s="276">
        <v>240</v>
      </c>
      <c r="G426" s="27">
        <f>300000+300000+100000</f>
        <v>700000</v>
      </c>
      <c r="H426" s="27">
        <v>700000</v>
      </c>
      <c r="I426" s="146">
        <v>400000</v>
      </c>
      <c r="J426" s="207">
        <f t="shared" si="227"/>
        <v>57.142857142857139</v>
      </c>
      <c r="M426" s="295"/>
      <c r="N426" s="295"/>
      <c r="O426" s="295"/>
    </row>
    <row r="427" spans="1:15" ht="45" x14ac:dyDescent="0.25">
      <c r="A427" s="276">
        <v>416</v>
      </c>
      <c r="B427" s="277" t="s">
        <v>361</v>
      </c>
      <c r="C427" s="281" t="s">
        <v>151</v>
      </c>
      <c r="D427" s="281" t="s">
        <v>93</v>
      </c>
      <c r="E427" s="281" t="s">
        <v>280</v>
      </c>
      <c r="F427" s="276"/>
      <c r="G427" s="27">
        <f t="shared" ref="G427:I428" si="249">G428</f>
        <v>311500</v>
      </c>
      <c r="H427" s="27">
        <f t="shared" si="249"/>
        <v>311500</v>
      </c>
      <c r="I427" s="27">
        <f t="shared" si="249"/>
        <v>311500</v>
      </c>
      <c r="J427" s="207">
        <f t="shared" si="227"/>
        <v>100</v>
      </c>
      <c r="M427" s="295"/>
      <c r="N427" s="295"/>
      <c r="O427" s="295"/>
    </row>
    <row r="428" spans="1:15" x14ac:dyDescent="0.25">
      <c r="A428" s="276">
        <v>417</v>
      </c>
      <c r="B428" s="282" t="s">
        <v>19</v>
      </c>
      <c r="C428" s="281" t="s">
        <v>151</v>
      </c>
      <c r="D428" s="281" t="s">
        <v>93</v>
      </c>
      <c r="E428" s="281" t="s">
        <v>280</v>
      </c>
      <c r="F428" s="276">
        <v>200</v>
      </c>
      <c r="G428" s="27">
        <f t="shared" si="249"/>
        <v>311500</v>
      </c>
      <c r="H428" s="27">
        <f t="shared" si="249"/>
        <v>311500</v>
      </c>
      <c r="I428" s="27">
        <f t="shared" si="249"/>
        <v>311500</v>
      </c>
      <c r="J428" s="207">
        <f t="shared" si="227"/>
        <v>100</v>
      </c>
      <c r="M428" s="295"/>
      <c r="N428" s="295"/>
      <c r="O428" s="295"/>
    </row>
    <row r="429" spans="1:15" x14ac:dyDescent="0.25">
      <c r="A429" s="276">
        <v>418</v>
      </c>
      <c r="B429" s="282" t="s">
        <v>20</v>
      </c>
      <c r="C429" s="281" t="s">
        <v>151</v>
      </c>
      <c r="D429" s="281" t="s">
        <v>93</v>
      </c>
      <c r="E429" s="281" t="s">
        <v>280</v>
      </c>
      <c r="F429" s="276">
        <v>240</v>
      </c>
      <c r="G429" s="27">
        <f>300000+11500</f>
        <v>311500</v>
      </c>
      <c r="H429" s="27">
        <v>311500</v>
      </c>
      <c r="I429" s="146">
        <v>311500</v>
      </c>
      <c r="J429" s="207">
        <f t="shared" si="227"/>
        <v>100</v>
      </c>
      <c r="M429" s="295"/>
      <c r="N429" s="295"/>
      <c r="O429" s="295"/>
    </row>
    <row r="430" spans="1:15" ht="35.25" customHeight="1" x14ac:dyDescent="0.25">
      <c r="A430" s="276">
        <v>419</v>
      </c>
      <c r="B430" s="297" t="s">
        <v>233</v>
      </c>
      <c r="C430" s="42">
        <v>951</v>
      </c>
      <c r="D430" s="41"/>
      <c r="E430" s="42"/>
      <c r="F430" s="41"/>
      <c r="G430" s="44">
        <f>G431+G553</f>
        <v>851760585.53000009</v>
      </c>
      <c r="H430" s="44">
        <f t="shared" ref="H430:I430" si="250">H431+H553</f>
        <v>848109228.33000004</v>
      </c>
      <c r="I430" s="44">
        <f t="shared" si="250"/>
        <v>829643483.82999992</v>
      </c>
      <c r="J430" s="207">
        <f t="shared" si="227"/>
        <v>97.822716239468264</v>
      </c>
      <c r="M430" s="295"/>
      <c r="N430" s="295"/>
      <c r="O430" s="295"/>
    </row>
    <row r="431" spans="1:15" x14ac:dyDescent="0.25">
      <c r="A431" s="276">
        <v>420</v>
      </c>
      <c r="B431" s="298" t="s">
        <v>112</v>
      </c>
      <c r="C431" s="281">
        <v>951</v>
      </c>
      <c r="D431" s="281" t="s">
        <v>113</v>
      </c>
      <c r="E431" s="281"/>
      <c r="F431" s="276"/>
      <c r="G431" s="27">
        <f>G432+G461+G520+G543</f>
        <v>829797490.33000004</v>
      </c>
      <c r="H431" s="27">
        <f t="shared" ref="H431:I431" si="251">H432+H461+H520+H543</f>
        <v>831325233.13</v>
      </c>
      <c r="I431" s="27">
        <f t="shared" si="251"/>
        <v>818662458.0999999</v>
      </c>
      <c r="J431" s="207">
        <f t="shared" si="227"/>
        <v>98.476796502095354</v>
      </c>
      <c r="M431" s="295"/>
      <c r="N431" s="295"/>
      <c r="O431" s="295"/>
    </row>
    <row r="432" spans="1:15" x14ac:dyDescent="0.25">
      <c r="A432" s="276">
        <v>421</v>
      </c>
      <c r="B432" s="282" t="s">
        <v>114</v>
      </c>
      <c r="C432" s="281">
        <v>951</v>
      </c>
      <c r="D432" s="281" t="s">
        <v>115</v>
      </c>
      <c r="E432" s="281"/>
      <c r="F432" s="276"/>
      <c r="G432" s="27">
        <f>G433+G456</f>
        <v>253823995.76000002</v>
      </c>
      <c r="H432" s="27">
        <f t="shared" ref="H432:I432" si="252">H433+H456</f>
        <v>254314095.76000002</v>
      </c>
      <c r="I432" s="27">
        <f t="shared" si="252"/>
        <v>252282194.10999995</v>
      </c>
      <c r="J432" s="207">
        <f t="shared" si="227"/>
        <v>99.201026728806411</v>
      </c>
      <c r="M432" s="295"/>
      <c r="N432" s="295"/>
      <c r="O432" s="295"/>
    </row>
    <row r="433" spans="1:15" ht="30" x14ac:dyDescent="0.25">
      <c r="A433" s="276">
        <v>422</v>
      </c>
      <c r="B433" s="277" t="s">
        <v>53</v>
      </c>
      <c r="C433" s="281">
        <v>951</v>
      </c>
      <c r="D433" s="281" t="s">
        <v>115</v>
      </c>
      <c r="E433" s="281" t="s">
        <v>182</v>
      </c>
      <c r="F433" s="276"/>
      <c r="G433" s="27">
        <f t="shared" ref="G433:I433" si="253">G434</f>
        <v>253669670.76000002</v>
      </c>
      <c r="H433" s="27">
        <f t="shared" si="253"/>
        <v>254159770.76000002</v>
      </c>
      <c r="I433" s="27">
        <f t="shared" si="253"/>
        <v>252127869.10999995</v>
      </c>
      <c r="J433" s="207">
        <f t="shared" si="227"/>
        <v>99.200541594791275</v>
      </c>
      <c r="M433" s="295"/>
      <c r="N433" s="295"/>
      <c r="O433" s="295"/>
    </row>
    <row r="434" spans="1:15" x14ac:dyDescent="0.25">
      <c r="A434" s="276">
        <v>423</v>
      </c>
      <c r="B434" s="277" t="s">
        <v>133</v>
      </c>
      <c r="C434" s="281">
        <v>951</v>
      </c>
      <c r="D434" s="281" t="s">
        <v>115</v>
      </c>
      <c r="E434" s="281" t="s">
        <v>192</v>
      </c>
      <c r="F434" s="276"/>
      <c r="G434" s="27">
        <f>G435+G444+G447+G450+G441+G438+G453</f>
        <v>253669670.76000002</v>
      </c>
      <c r="H434" s="27">
        <f t="shared" ref="H434:I434" si="254">H435+H444+H447+H450+H441+H438+H453</f>
        <v>254159770.76000002</v>
      </c>
      <c r="I434" s="27">
        <f t="shared" si="254"/>
        <v>252127869.10999995</v>
      </c>
      <c r="J434" s="207">
        <f t="shared" si="227"/>
        <v>99.200541594791275</v>
      </c>
      <c r="M434" s="295"/>
      <c r="N434" s="295"/>
      <c r="O434" s="295"/>
    </row>
    <row r="435" spans="1:15" ht="45" x14ac:dyDescent="0.25">
      <c r="A435" s="276">
        <v>424</v>
      </c>
      <c r="B435" s="282" t="s">
        <v>328</v>
      </c>
      <c r="C435" s="281">
        <v>951</v>
      </c>
      <c r="D435" s="281" t="s">
        <v>115</v>
      </c>
      <c r="E435" s="281" t="s">
        <v>193</v>
      </c>
      <c r="F435" s="276"/>
      <c r="G435" s="27">
        <f t="shared" ref="G435:I435" si="255">G436</f>
        <v>125707803.56</v>
      </c>
      <c r="H435" s="27">
        <f t="shared" si="255"/>
        <v>125707803.56</v>
      </c>
      <c r="I435" s="27">
        <f t="shared" si="255"/>
        <v>123758812.73</v>
      </c>
      <c r="J435" s="207">
        <f t="shared" si="227"/>
        <v>98.449586441887234</v>
      </c>
      <c r="M435" s="295"/>
      <c r="N435" s="295"/>
      <c r="O435" s="295"/>
    </row>
    <row r="436" spans="1:15" ht="30" x14ac:dyDescent="0.25">
      <c r="A436" s="276">
        <v>425</v>
      </c>
      <c r="B436" s="282" t="s">
        <v>48</v>
      </c>
      <c r="C436" s="281">
        <v>951</v>
      </c>
      <c r="D436" s="281" t="s">
        <v>115</v>
      </c>
      <c r="E436" s="281" t="s">
        <v>193</v>
      </c>
      <c r="F436" s="276">
        <v>600</v>
      </c>
      <c r="G436" s="27">
        <f t="shared" ref="G436" si="256">G437</f>
        <v>125707803.56</v>
      </c>
      <c r="H436" s="27">
        <f t="shared" ref="H436:I436" si="257">H437</f>
        <v>125707803.56</v>
      </c>
      <c r="I436" s="27">
        <f t="shared" si="257"/>
        <v>123758812.73</v>
      </c>
      <c r="J436" s="207">
        <f t="shared" si="227"/>
        <v>98.449586441887234</v>
      </c>
      <c r="M436" s="295"/>
      <c r="N436" s="295"/>
      <c r="O436" s="295"/>
    </row>
    <row r="437" spans="1:15" x14ac:dyDescent="0.25">
      <c r="A437" s="276">
        <v>426</v>
      </c>
      <c r="B437" s="282" t="s">
        <v>66</v>
      </c>
      <c r="C437" s="281">
        <v>951</v>
      </c>
      <c r="D437" s="281" t="s">
        <v>115</v>
      </c>
      <c r="E437" s="281" t="s">
        <v>193</v>
      </c>
      <c r="F437" s="276">
        <v>610</v>
      </c>
      <c r="G437" s="27">
        <f>107182470+4022900+1070690+6453300+890900+200000+5887543.56</f>
        <v>125707803.56</v>
      </c>
      <c r="H437" s="27">
        <v>125707803.56</v>
      </c>
      <c r="I437" s="146">
        <v>123758812.73</v>
      </c>
      <c r="J437" s="207">
        <f t="shared" si="227"/>
        <v>98.449586441887234</v>
      </c>
      <c r="M437" s="295"/>
      <c r="N437" s="295"/>
      <c r="O437" s="295"/>
    </row>
    <row r="438" spans="1:15" ht="66" customHeight="1" x14ac:dyDescent="0.25">
      <c r="A438" s="276">
        <v>427</v>
      </c>
      <c r="B438" s="282" t="s">
        <v>492</v>
      </c>
      <c r="C438" s="281" t="s">
        <v>163</v>
      </c>
      <c r="D438" s="281" t="s">
        <v>115</v>
      </c>
      <c r="E438" s="281" t="s">
        <v>493</v>
      </c>
      <c r="F438" s="276"/>
      <c r="G438" s="27">
        <f>G439</f>
        <v>1850535.36</v>
      </c>
      <c r="H438" s="27">
        <f t="shared" ref="H438:I439" si="258">H439</f>
        <v>1850535.36</v>
      </c>
      <c r="I438" s="27">
        <f t="shared" si="258"/>
        <v>1850535</v>
      </c>
      <c r="J438" s="207">
        <f t="shared" si="227"/>
        <v>99.99998054617015</v>
      </c>
      <c r="M438" s="295"/>
      <c r="N438" s="295"/>
      <c r="O438" s="295"/>
    </row>
    <row r="439" spans="1:15" ht="30" x14ac:dyDescent="0.25">
      <c r="A439" s="276">
        <v>428</v>
      </c>
      <c r="B439" s="282" t="s">
        <v>48</v>
      </c>
      <c r="C439" s="281" t="s">
        <v>163</v>
      </c>
      <c r="D439" s="281" t="s">
        <v>115</v>
      </c>
      <c r="E439" s="281" t="s">
        <v>493</v>
      </c>
      <c r="F439" s="276">
        <v>600</v>
      </c>
      <c r="G439" s="27">
        <f>G440</f>
        <v>1850535.36</v>
      </c>
      <c r="H439" s="27">
        <f t="shared" si="258"/>
        <v>1850535.36</v>
      </c>
      <c r="I439" s="27">
        <f t="shared" si="258"/>
        <v>1850535</v>
      </c>
      <c r="J439" s="207">
        <f t="shared" si="227"/>
        <v>99.99998054617015</v>
      </c>
      <c r="M439" s="295"/>
      <c r="N439" s="295"/>
      <c r="O439" s="295"/>
    </row>
    <row r="440" spans="1:15" x14ac:dyDescent="0.25">
      <c r="A440" s="276">
        <v>429</v>
      </c>
      <c r="B440" s="282" t="s">
        <v>66</v>
      </c>
      <c r="C440" s="281" t="s">
        <v>163</v>
      </c>
      <c r="D440" s="281" t="s">
        <v>115</v>
      </c>
      <c r="E440" s="281" t="s">
        <v>493</v>
      </c>
      <c r="F440" s="276">
        <v>610</v>
      </c>
      <c r="G440" s="27">
        <f>1153500+11535+384500+4000+0.36+297000</f>
        <v>1850535.36</v>
      </c>
      <c r="H440" s="27">
        <v>1850535.36</v>
      </c>
      <c r="I440" s="146">
        <v>1850535</v>
      </c>
      <c r="J440" s="207">
        <f t="shared" si="227"/>
        <v>99.99998054617015</v>
      </c>
      <c r="M440" s="295"/>
      <c r="N440" s="295"/>
      <c r="O440" s="295"/>
    </row>
    <row r="441" spans="1:15" ht="60" x14ac:dyDescent="0.25">
      <c r="A441" s="276">
        <v>430</v>
      </c>
      <c r="B441" s="282" t="s">
        <v>464</v>
      </c>
      <c r="C441" s="281" t="s">
        <v>163</v>
      </c>
      <c r="D441" s="281" t="s">
        <v>115</v>
      </c>
      <c r="E441" s="281" t="s">
        <v>465</v>
      </c>
      <c r="F441" s="276"/>
      <c r="G441" s="27">
        <f>G442</f>
        <v>12187831.84</v>
      </c>
      <c r="H441" s="27">
        <f t="shared" ref="H441:I442" si="259">H442</f>
        <v>12187831.84</v>
      </c>
      <c r="I441" s="27">
        <f t="shared" si="259"/>
        <v>12187831.810000001</v>
      </c>
      <c r="J441" s="207">
        <f t="shared" si="227"/>
        <v>99.999999753852862</v>
      </c>
      <c r="M441" s="295"/>
      <c r="N441" s="295"/>
      <c r="O441" s="295"/>
    </row>
    <row r="442" spans="1:15" ht="30" x14ac:dyDescent="0.25">
      <c r="A442" s="276">
        <v>431</v>
      </c>
      <c r="B442" s="282" t="s">
        <v>48</v>
      </c>
      <c r="C442" s="281" t="s">
        <v>163</v>
      </c>
      <c r="D442" s="281" t="s">
        <v>115</v>
      </c>
      <c r="E442" s="281" t="s">
        <v>465</v>
      </c>
      <c r="F442" s="276">
        <v>600</v>
      </c>
      <c r="G442" s="27">
        <f>G443</f>
        <v>12187831.84</v>
      </c>
      <c r="H442" s="27">
        <f t="shared" si="259"/>
        <v>12187831.84</v>
      </c>
      <c r="I442" s="27">
        <f t="shared" si="259"/>
        <v>12187831.810000001</v>
      </c>
      <c r="J442" s="207">
        <f t="shared" si="227"/>
        <v>99.999999753852862</v>
      </c>
      <c r="M442" s="295"/>
      <c r="N442" s="295"/>
      <c r="O442" s="295"/>
    </row>
    <row r="443" spans="1:15" x14ac:dyDescent="0.25">
      <c r="A443" s="276">
        <v>432</v>
      </c>
      <c r="B443" s="282" t="s">
        <v>66</v>
      </c>
      <c r="C443" s="281" t="s">
        <v>163</v>
      </c>
      <c r="D443" s="281" t="s">
        <v>115</v>
      </c>
      <c r="E443" s="281" t="s">
        <v>465</v>
      </c>
      <c r="F443" s="276">
        <v>610</v>
      </c>
      <c r="G443" s="27">
        <f>117059.6+63613+91361.6+9882099.64+304360+289238+1440100</f>
        <v>12187831.84</v>
      </c>
      <c r="H443" s="27">
        <v>12187831.84</v>
      </c>
      <c r="I443" s="146">
        <v>12187831.810000001</v>
      </c>
      <c r="J443" s="207">
        <f t="shared" si="227"/>
        <v>99.999999753852862</v>
      </c>
      <c r="M443" s="295"/>
      <c r="N443" s="295"/>
      <c r="O443" s="295"/>
    </row>
    <row r="444" spans="1:15" ht="112.5" customHeight="1" x14ac:dyDescent="0.25">
      <c r="A444" s="276">
        <v>433</v>
      </c>
      <c r="B444" s="279" t="s">
        <v>329</v>
      </c>
      <c r="C444" s="281">
        <v>951</v>
      </c>
      <c r="D444" s="281" t="s">
        <v>115</v>
      </c>
      <c r="E444" s="281" t="s">
        <v>194</v>
      </c>
      <c r="F444" s="276"/>
      <c r="G444" s="27">
        <f t="shared" ref="G444" si="260">G445</f>
        <v>46058600</v>
      </c>
      <c r="H444" s="27">
        <f t="shared" ref="H444:I444" si="261">H445</f>
        <v>46058600</v>
      </c>
      <c r="I444" s="27">
        <f t="shared" si="261"/>
        <v>46006768.409999996</v>
      </c>
      <c r="J444" s="207">
        <f t="shared" si="227"/>
        <v>99.887465988979258</v>
      </c>
      <c r="M444" s="295"/>
      <c r="N444" s="295"/>
      <c r="O444" s="295"/>
    </row>
    <row r="445" spans="1:15" ht="30" x14ac:dyDescent="0.25">
      <c r="A445" s="276">
        <v>434</v>
      </c>
      <c r="B445" s="282" t="s">
        <v>48</v>
      </c>
      <c r="C445" s="281">
        <v>951</v>
      </c>
      <c r="D445" s="281" t="s">
        <v>115</v>
      </c>
      <c r="E445" s="281" t="s">
        <v>194</v>
      </c>
      <c r="F445" s="276">
        <v>600</v>
      </c>
      <c r="G445" s="27">
        <f t="shared" ref="G445" si="262">G446</f>
        <v>46058600</v>
      </c>
      <c r="H445" s="27">
        <f t="shared" ref="H445:I445" si="263">H446</f>
        <v>46058600</v>
      </c>
      <c r="I445" s="27">
        <f t="shared" si="263"/>
        <v>46006768.409999996</v>
      </c>
      <c r="J445" s="207">
        <f t="shared" si="227"/>
        <v>99.887465988979258</v>
      </c>
      <c r="M445" s="295"/>
      <c r="N445" s="295"/>
      <c r="O445" s="295"/>
    </row>
    <row r="446" spans="1:15" x14ac:dyDescent="0.25">
      <c r="A446" s="276">
        <v>435</v>
      </c>
      <c r="B446" s="282" t="s">
        <v>66</v>
      </c>
      <c r="C446" s="281">
        <v>951</v>
      </c>
      <c r="D446" s="281" t="s">
        <v>115</v>
      </c>
      <c r="E446" s="281" t="s">
        <v>194</v>
      </c>
      <c r="F446" s="276">
        <v>610</v>
      </c>
      <c r="G446" s="27">
        <f>39876300+2715200+226700+1305600+1934800</f>
        <v>46058600</v>
      </c>
      <c r="H446" s="27">
        <v>46058600</v>
      </c>
      <c r="I446" s="146">
        <v>46006768.409999996</v>
      </c>
      <c r="J446" s="207">
        <f t="shared" si="227"/>
        <v>99.887465988979258</v>
      </c>
      <c r="M446" s="295"/>
      <c r="N446" s="295"/>
      <c r="O446" s="295"/>
    </row>
    <row r="447" spans="1:15" ht="105" x14ac:dyDescent="0.25">
      <c r="A447" s="276">
        <v>436</v>
      </c>
      <c r="B447" s="279" t="s">
        <v>330</v>
      </c>
      <c r="C447" s="281">
        <v>951</v>
      </c>
      <c r="D447" s="281" t="s">
        <v>115</v>
      </c>
      <c r="E447" s="281" t="s">
        <v>195</v>
      </c>
      <c r="F447" s="276"/>
      <c r="G447" s="27">
        <f t="shared" ref="G447:I448" si="264">G448</f>
        <v>67097700</v>
      </c>
      <c r="H447" s="27">
        <f t="shared" si="264"/>
        <v>67587800</v>
      </c>
      <c r="I447" s="27">
        <f t="shared" si="264"/>
        <v>67556724.209999993</v>
      </c>
      <c r="J447" s="207">
        <f t="shared" si="227"/>
        <v>99.954021598572524</v>
      </c>
      <c r="M447" s="295"/>
      <c r="N447" s="295"/>
      <c r="O447" s="295"/>
    </row>
    <row r="448" spans="1:15" ht="30" x14ac:dyDescent="0.25">
      <c r="A448" s="276">
        <v>437</v>
      </c>
      <c r="B448" s="282" t="s">
        <v>48</v>
      </c>
      <c r="C448" s="281">
        <v>951</v>
      </c>
      <c r="D448" s="281" t="s">
        <v>115</v>
      </c>
      <c r="E448" s="281" t="s">
        <v>195</v>
      </c>
      <c r="F448" s="276">
        <v>600</v>
      </c>
      <c r="G448" s="27">
        <f t="shared" ref="G448" si="265">G449</f>
        <v>67097700</v>
      </c>
      <c r="H448" s="27">
        <f t="shared" si="264"/>
        <v>67587800</v>
      </c>
      <c r="I448" s="27">
        <f t="shared" si="264"/>
        <v>67556724.209999993</v>
      </c>
      <c r="J448" s="207">
        <f t="shared" si="227"/>
        <v>99.954021598572524</v>
      </c>
      <c r="M448" s="295"/>
      <c r="N448" s="295"/>
      <c r="O448" s="295"/>
    </row>
    <row r="449" spans="1:15" x14ac:dyDescent="0.25">
      <c r="A449" s="276">
        <v>438</v>
      </c>
      <c r="B449" s="282" t="s">
        <v>66</v>
      </c>
      <c r="C449" s="281">
        <v>951</v>
      </c>
      <c r="D449" s="281" t="s">
        <v>115</v>
      </c>
      <c r="E449" s="281" t="s">
        <v>195</v>
      </c>
      <c r="F449" s="276">
        <v>610</v>
      </c>
      <c r="G449" s="27">
        <f>54927800+3054900+2755600+4973000+1386400</f>
        <v>67097700</v>
      </c>
      <c r="H449" s="27">
        <v>67587800</v>
      </c>
      <c r="I449" s="146">
        <v>67556724.209999993</v>
      </c>
      <c r="J449" s="207">
        <f t="shared" si="227"/>
        <v>99.954021598572524</v>
      </c>
      <c r="M449" s="295"/>
      <c r="N449" s="295"/>
      <c r="O449" s="295"/>
    </row>
    <row r="450" spans="1:15" ht="105" x14ac:dyDescent="0.25">
      <c r="A450" s="276">
        <v>439</v>
      </c>
      <c r="B450" s="280" t="s">
        <v>331</v>
      </c>
      <c r="C450" s="281">
        <v>951</v>
      </c>
      <c r="D450" s="281" t="s">
        <v>115</v>
      </c>
      <c r="E450" s="281" t="s">
        <v>196</v>
      </c>
      <c r="F450" s="276"/>
      <c r="G450" s="27">
        <f t="shared" ref="G450:I451" si="266">G451</f>
        <v>367200</v>
      </c>
      <c r="H450" s="27">
        <f t="shared" si="266"/>
        <v>367200</v>
      </c>
      <c r="I450" s="27">
        <f t="shared" si="266"/>
        <v>367200</v>
      </c>
      <c r="J450" s="207">
        <f t="shared" si="227"/>
        <v>100</v>
      </c>
      <c r="M450" s="295"/>
      <c r="N450" s="295"/>
      <c r="O450" s="295"/>
    </row>
    <row r="451" spans="1:15" ht="30" x14ac:dyDescent="0.25">
      <c r="A451" s="276">
        <v>440</v>
      </c>
      <c r="B451" s="282" t="s">
        <v>48</v>
      </c>
      <c r="C451" s="281">
        <v>951</v>
      </c>
      <c r="D451" s="281" t="s">
        <v>115</v>
      </c>
      <c r="E451" s="281" t="s">
        <v>196</v>
      </c>
      <c r="F451" s="276">
        <v>600</v>
      </c>
      <c r="G451" s="27">
        <f t="shared" ref="G451" si="267">G452</f>
        <v>367200</v>
      </c>
      <c r="H451" s="27">
        <f t="shared" si="266"/>
        <v>367200</v>
      </c>
      <c r="I451" s="27">
        <f t="shared" si="266"/>
        <v>367200</v>
      </c>
      <c r="J451" s="207">
        <f t="shared" si="227"/>
        <v>100</v>
      </c>
      <c r="M451" s="295"/>
      <c r="N451" s="295"/>
      <c r="O451" s="295"/>
    </row>
    <row r="452" spans="1:15" x14ac:dyDescent="0.25">
      <c r="A452" s="276">
        <v>441</v>
      </c>
      <c r="B452" s="282" t="s">
        <v>66</v>
      </c>
      <c r="C452" s="281">
        <v>951</v>
      </c>
      <c r="D452" s="281" t="s">
        <v>115</v>
      </c>
      <c r="E452" s="281" t="s">
        <v>196</v>
      </c>
      <c r="F452" s="276">
        <v>610</v>
      </c>
      <c r="G452" s="27">
        <v>367200</v>
      </c>
      <c r="H452" s="27">
        <v>367200</v>
      </c>
      <c r="I452" s="207">
        <v>367200</v>
      </c>
      <c r="J452" s="207">
        <f t="shared" si="227"/>
        <v>100</v>
      </c>
      <c r="M452" s="295"/>
      <c r="N452" s="295"/>
      <c r="O452" s="295"/>
    </row>
    <row r="453" spans="1:15" ht="60" customHeight="1" x14ac:dyDescent="0.25">
      <c r="A453" s="276">
        <v>442</v>
      </c>
      <c r="B453" s="282" t="s">
        <v>553</v>
      </c>
      <c r="C453" s="281" t="s">
        <v>163</v>
      </c>
      <c r="D453" s="281" t="s">
        <v>115</v>
      </c>
      <c r="E453" s="281" t="s">
        <v>541</v>
      </c>
      <c r="F453" s="276"/>
      <c r="G453" s="27">
        <f>G454</f>
        <v>400000</v>
      </c>
      <c r="H453" s="27">
        <f t="shared" ref="H453:I454" si="268">H454</f>
        <v>400000</v>
      </c>
      <c r="I453" s="27">
        <f t="shared" si="268"/>
        <v>399996.95</v>
      </c>
      <c r="J453" s="207">
        <f t="shared" si="227"/>
        <v>99.999237500000007</v>
      </c>
      <c r="M453" s="295"/>
      <c r="N453" s="295"/>
      <c r="O453" s="295"/>
    </row>
    <row r="454" spans="1:15" ht="30" x14ac:dyDescent="0.25">
      <c r="A454" s="276">
        <v>443</v>
      </c>
      <c r="B454" s="282" t="s">
        <v>522</v>
      </c>
      <c r="C454" s="281" t="s">
        <v>163</v>
      </c>
      <c r="D454" s="281" t="s">
        <v>115</v>
      </c>
      <c r="E454" s="281" t="s">
        <v>541</v>
      </c>
      <c r="F454" s="276">
        <v>600</v>
      </c>
      <c r="G454" s="27">
        <f>G455</f>
        <v>400000</v>
      </c>
      <c r="H454" s="27">
        <f t="shared" si="268"/>
        <v>400000</v>
      </c>
      <c r="I454" s="27">
        <f t="shared" si="268"/>
        <v>399996.95</v>
      </c>
      <c r="J454" s="207">
        <f t="shared" si="227"/>
        <v>99.999237500000007</v>
      </c>
      <c r="M454" s="295"/>
      <c r="N454" s="295"/>
      <c r="O454" s="295"/>
    </row>
    <row r="455" spans="1:15" x14ac:dyDescent="0.25">
      <c r="A455" s="276">
        <v>444</v>
      </c>
      <c r="B455" s="282" t="s">
        <v>530</v>
      </c>
      <c r="C455" s="281" t="s">
        <v>163</v>
      </c>
      <c r="D455" s="281" t="s">
        <v>115</v>
      </c>
      <c r="E455" s="281" t="s">
        <v>541</v>
      </c>
      <c r="F455" s="276">
        <v>610</v>
      </c>
      <c r="G455" s="27">
        <v>400000</v>
      </c>
      <c r="H455" s="27">
        <v>400000</v>
      </c>
      <c r="I455" s="27">
        <v>399996.95</v>
      </c>
      <c r="J455" s="207">
        <f t="shared" si="227"/>
        <v>99.999237500000007</v>
      </c>
      <c r="M455" s="295"/>
      <c r="N455" s="295"/>
      <c r="O455" s="295"/>
    </row>
    <row r="456" spans="1:15" x14ac:dyDescent="0.25">
      <c r="A456" s="276">
        <v>445</v>
      </c>
      <c r="B456" s="282" t="s">
        <v>271</v>
      </c>
      <c r="C456" s="281" t="s">
        <v>163</v>
      </c>
      <c r="D456" s="281" t="s">
        <v>115</v>
      </c>
      <c r="E456" s="281" t="s">
        <v>268</v>
      </c>
      <c r="F456" s="276"/>
      <c r="G456" s="27">
        <f>G457</f>
        <v>154325</v>
      </c>
      <c r="H456" s="27">
        <f>H457</f>
        <v>154325</v>
      </c>
      <c r="I456" s="27">
        <f>I457</f>
        <v>154325</v>
      </c>
      <c r="J456" s="207">
        <f t="shared" si="227"/>
        <v>100</v>
      </c>
      <c r="M456" s="295"/>
      <c r="N456" s="295"/>
      <c r="O456" s="295"/>
    </row>
    <row r="457" spans="1:15" x14ac:dyDescent="0.25">
      <c r="A457" s="276">
        <v>446</v>
      </c>
      <c r="B457" s="282" t="s">
        <v>526</v>
      </c>
      <c r="C457" s="281" t="s">
        <v>163</v>
      </c>
      <c r="D457" s="281" t="s">
        <v>115</v>
      </c>
      <c r="E457" s="281" t="s">
        <v>527</v>
      </c>
      <c r="F457" s="276"/>
      <c r="G457" s="27">
        <f>G458</f>
        <v>154325</v>
      </c>
      <c r="H457" s="27">
        <f t="shared" ref="H457:I459" si="269">H458</f>
        <v>154325</v>
      </c>
      <c r="I457" s="27">
        <f t="shared" si="269"/>
        <v>154325</v>
      </c>
      <c r="J457" s="207">
        <f t="shared" si="227"/>
        <v>100</v>
      </c>
      <c r="M457" s="295"/>
      <c r="N457" s="295"/>
      <c r="O457" s="295"/>
    </row>
    <row r="458" spans="1:15" ht="60" x14ac:dyDescent="0.25">
      <c r="A458" s="276">
        <v>447</v>
      </c>
      <c r="B458" s="282" t="s">
        <v>528</v>
      </c>
      <c r="C458" s="281" t="s">
        <v>163</v>
      </c>
      <c r="D458" s="281" t="s">
        <v>115</v>
      </c>
      <c r="E458" s="281" t="s">
        <v>529</v>
      </c>
      <c r="F458" s="276"/>
      <c r="G458" s="27">
        <f>G459</f>
        <v>154325</v>
      </c>
      <c r="H458" s="27">
        <f t="shared" si="269"/>
        <v>154325</v>
      </c>
      <c r="I458" s="27">
        <f t="shared" si="269"/>
        <v>154325</v>
      </c>
      <c r="J458" s="207">
        <f t="shared" si="227"/>
        <v>100</v>
      </c>
      <c r="M458" s="295"/>
      <c r="N458" s="295"/>
      <c r="O458" s="295"/>
    </row>
    <row r="459" spans="1:15" ht="30" x14ac:dyDescent="0.25">
      <c r="A459" s="276">
        <v>448</v>
      </c>
      <c r="B459" s="282" t="s">
        <v>48</v>
      </c>
      <c r="C459" s="281" t="s">
        <v>163</v>
      </c>
      <c r="D459" s="281" t="s">
        <v>115</v>
      </c>
      <c r="E459" s="281" t="s">
        <v>529</v>
      </c>
      <c r="F459" s="276">
        <v>600</v>
      </c>
      <c r="G459" s="27">
        <f>G460</f>
        <v>154325</v>
      </c>
      <c r="H459" s="27">
        <f t="shared" si="269"/>
        <v>154325</v>
      </c>
      <c r="I459" s="27">
        <f t="shared" si="269"/>
        <v>154325</v>
      </c>
      <c r="J459" s="207">
        <f t="shared" si="227"/>
        <v>100</v>
      </c>
      <c r="M459" s="295"/>
      <c r="N459" s="295"/>
      <c r="O459" s="295"/>
    </row>
    <row r="460" spans="1:15" x14ac:dyDescent="0.25">
      <c r="A460" s="276">
        <v>449</v>
      </c>
      <c r="B460" s="282" t="s">
        <v>530</v>
      </c>
      <c r="C460" s="281" t="s">
        <v>163</v>
      </c>
      <c r="D460" s="281" t="s">
        <v>115</v>
      </c>
      <c r="E460" s="281" t="s">
        <v>529</v>
      </c>
      <c r="F460" s="276">
        <v>610</v>
      </c>
      <c r="G460" s="27">
        <f>67125+87200</f>
        <v>154325</v>
      </c>
      <c r="H460" s="27">
        <v>154325</v>
      </c>
      <c r="I460" s="27">
        <v>154325</v>
      </c>
      <c r="J460" s="207">
        <f t="shared" si="227"/>
        <v>100</v>
      </c>
      <c r="M460" s="295"/>
      <c r="N460" s="295"/>
      <c r="O460" s="295"/>
    </row>
    <row r="461" spans="1:15" x14ac:dyDescent="0.25">
      <c r="A461" s="276">
        <v>450</v>
      </c>
      <c r="B461" s="277" t="s">
        <v>64</v>
      </c>
      <c r="C461" s="281">
        <v>951</v>
      </c>
      <c r="D461" s="281" t="s">
        <v>116</v>
      </c>
      <c r="E461" s="281"/>
      <c r="F461" s="276"/>
      <c r="G461" s="27">
        <f>G462+G517</f>
        <v>504951251.43000001</v>
      </c>
      <c r="H461" s="27">
        <f t="shared" ref="H461:I461" si="270">H462+H517</f>
        <v>505078894.23000002</v>
      </c>
      <c r="I461" s="27">
        <f t="shared" si="270"/>
        <v>495189869.99000001</v>
      </c>
      <c r="J461" s="207">
        <f t="shared" ref="J461:J524" si="271">I461/H461*100</f>
        <v>98.042083256106764</v>
      </c>
      <c r="M461" s="295"/>
      <c r="N461" s="295"/>
      <c r="O461" s="295"/>
    </row>
    <row r="462" spans="1:15" ht="30" x14ac:dyDescent="0.25">
      <c r="A462" s="276">
        <v>451</v>
      </c>
      <c r="B462" s="277" t="s">
        <v>53</v>
      </c>
      <c r="C462" s="281">
        <v>951</v>
      </c>
      <c r="D462" s="281" t="s">
        <v>116</v>
      </c>
      <c r="E462" s="281" t="s">
        <v>182</v>
      </c>
      <c r="F462" s="276"/>
      <c r="G462" s="27">
        <f t="shared" ref="G462:I462" si="272">G463</f>
        <v>504621076.43000001</v>
      </c>
      <c r="H462" s="27">
        <f t="shared" si="272"/>
        <v>504748719.23000002</v>
      </c>
      <c r="I462" s="27">
        <f t="shared" si="272"/>
        <v>494860121.34000003</v>
      </c>
      <c r="J462" s="207">
        <f t="shared" si="271"/>
        <v>98.040886977368629</v>
      </c>
      <c r="M462" s="295"/>
      <c r="N462" s="295"/>
      <c r="O462" s="295"/>
    </row>
    <row r="463" spans="1:15" x14ac:dyDescent="0.25">
      <c r="A463" s="276">
        <v>452</v>
      </c>
      <c r="B463" s="277" t="s">
        <v>134</v>
      </c>
      <c r="C463" s="281">
        <v>951</v>
      </c>
      <c r="D463" s="281" t="s">
        <v>116</v>
      </c>
      <c r="E463" s="281" t="s">
        <v>197</v>
      </c>
      <c r="F463" s="276"/>
      <c r="G463" s="27">
        <f>G464+G479+G482+G488+G491+G494+G512+G470+G485+G476+G473+G497+G503+G500+G506+G467+G509</f>
        <v>504621076.43000001</v>
      </c>
      <c r="H463" s="27">
        <f t="shared" ref="H463:I463" si="273">H464+H479+H482+H488+H491+H494+H512+H470+H485+H476+H473+H497+H503+H500+H506+H467+H509</f>
        <v>504748719.23000002</v>
      </c>
      <c r="I463" s="27">
        <f t="shared" si="273"/>
        <v>494860121.34000003</v>
      </c>
      <c r="J463" s="207">
        <f t="shared" si="271"/>
        <v>98.040886977368629</v>
      </c>
      <c r="M463" s="295"/>
      <c r="N463" s="295"/>
      <c r="O463" s="295"/>
    </row>
    <row r="464" spans="1:15" ht="45" x14ac:dyDescent="0.25">
      <c r="A464" s="276">
        <v>453</v>
      </c>
      <c r="B464" s="282" t="s">
        <v>332</v>
      </c>
      <c r="C464" s="281">
        <v>951</v>
      </c>
      <c r="D464" s="281" t="s">
        <v>116</v>
      </c>
      <c r="E464" s="281" t="s">
        <v>198</v>
      </c>
      <c r="F464" s="276"/>
      <c r="G464" s="27">
        <f t="shared" ref="G464:I464" si="274">G465</f>
        <v>195238540</v>
      </c>
      <c r="H464" s="27">
        <f t="shared" si="274"/>
        <v>195238540</v>
      </c>
      <c r="I464" s="27">
        <f t="shared" si="274"/>
        <v>187581101.36000001</v>
      </c>
      <c r="J464" s="207">
        <f t="shared" si="271"/>
        <v>96.077906216672176</v>
      </c>
      <c r="M464" s="295"/>
      <c r="N464" s="295"/>
      <c r="O464" s="295"/>
    </row>
    <row r="465" spans="1:15" ht="30" x14ac:dyDescent="0.25">
      <c r="A465" s="276">
        <v>454</v>
      </c>
      <c r="B465" s="282" t="s">
        <v>48</v>
      </c>
      <c r="C465" s="281">
        <v>951</v>
      </c>
      <c r="D465" s="281" t="s">
        <v>116</v>
      </c>
      <c r="E465" s="281" t="s">
        <v>198</v>
      </c>
      <c r="F465" s="276">
        <v>600</v>
      </c>
      <c r="G465" s="27">
        <f t="shared" ref="G465" si="275">G466</f>
        <v>195238540</v>
      </c>
      <c r="H465" s="27">
        <f t="shared" ref="H465:I465" si="276">H466</f>
        <v>195238540</v>
      </c>
      <c r="I465" s="27">
        <f t="shared" si="276"/>
        <v>187581101.36000001</v>
      </c>
      <c r="J465" s="207">
        <f t="shared" si="271"/>
        <v>96.077906216672176</v>
      </c>
      <c r="M465" s="295"/>
      <c r="N465" s="295"/>
      <c r="O465" s="295"/>
    </row>
    <row r="466" spans="1:15" x14ac:dyDescent="0.25">
      <c r="A466" s="276">
        <v>455</v>
      </c>
      <c r="B466" s="282" t="s">
        <v>66</v>
      </c>
      <c r="C466" s="281">
        <v>951</v>
      </c>
      <c r="D466" s="281" t="s">
        <v>116</v>
      </c>
      <c r="E466" s="281" t="s">
        <v>198</v>
      </c>
      <c r="F466" s="276">
        <v>610</v>
      </c>
      <c r="G466" s="27">
        <f>152625400+6325760+2192540+36045000-5390000+10240840+269000-8300000-900000-200000+2330000</f>
        <v>195238540</v>
      </c>
      <c r="H466" s="27">
        <v>195238540</v>
      </c>
      <c r="I466" s="146">
        <v>187581101.36000001</v>
      </c>
      <c r="J466" s="207">
        <f t="shared" si="271"/>
        <v>96.077906216672176</v>
      </c>
      <c r="M466" s="295"/>
      <c r="N466" s="295"/>
      <c r="O466" s="295"/>
    </row>
    <row r="467" spans="1:15" ht="86.25" customHeight="1" x14ac:dyDescent="0.25">
      <c r="A467" s="276">
        <v>456</v>
      </c>
      <c r="B467" s="282" t="s">
        <v>581</v>
      </c>
      <c r="C467" s="281" t="s">
        <v>163</v>
      </c>
      <c r="D467" s="281" t="s">
        <v>116</v>
      </c>
      <c r="E467" s="281" t="s">
        <v>580</v>
      </c>
      <c r="F467" s="276"/>
      <c r="G467" s="27">
        <f>G468</f>
        <v>279800</v>
      </c>
      <c r="H467" s="27">
        <f t="shared" ref="H467:I467" si="277">H468</f>
        <v>264268</v>
      </c>
      <c r="I467" s="27">
        <f t="shared" si="277"/>
        <v>248625.4</v>
      </c>
      <c r="J467" s="207">
        <f t="shared" si="271"/>
        <v>94.080781630768769</v>
      </c>
      <c r="M467" s="295"/>
      <c r="N467" s="295"/>
      <c r="O467" s="295"/>
    </row>
    <row r="468" spans="1:15" ht="28.5" customHeight="1" x14ac:dyDescent="0.25">
      <c r="A468" s="276">
        <v>457</v>
      </c>
      <c r="B468" s="282" t="s">
        <v>522</v>
      </c>
      <c r="C468" s="281" t="s">
        <v>163</v>
      </c>
      <c r="D468" s="281" t="s">
        <v>116</v>
      </c>
      <c r="E468" s="281" t="s">
        <v>580</v>
      </c>
      <c r="F468" s="276">
        <v>600</v>
      </c>
      <c r="G468" s="27">
        <f>G469</f>
        <v>279800</v>
      </c>
      <c r="H468" s="27">
        <f t="shared" ref="H468:I468" si="278">H469</f>
        <v>264268</v>
      </c>
      <c r="I468" s="27">
        <f t="shared" si="278"/>
        <v>248625.4</v>
      </c>
      <c r="J468" s="207">
        <f t="shared" si="271"/>
        <v>94.080781630768769</v>
      </c>
      <c r="M468" s="295"/>
      <c r="N468" s="295"/>
      <c r="O468" s="295"/>
    </row>
    <row r="469" spans="1:15" x14ac:dyDescent="0.25">
      <c r="A469" s="276">
        <v>458</v>
      </c>
      <c r="B469" s="282" t="s">
        <v>530</v>
      </c>
      <c r="C469" s="281" t="s">
        <v>163</v>
      </c>
      <c r="D469" s="281" t="s">
        <v>116</v>
      </c>
      <c r="E469" s="281" t="s">
        <v>580</v>
      </c>
      <c r="F469" s="276">
        <v>610</v>
      </c>
      <c r="G469" s="27">
        <v>279800</v>
      </c>
      <c r="H469" s="27">
        <v>264268</v>
      </c>
      <c r="I469" s="146">
        <v>248625.4</v>
      </c>
      <c r="J469" s="207">
        <f t="shared" si="271"/>
        <v>94.080781630768769</v>
      </c>
      <c r="M469" s="295"/>
      <c r="N469" s="295"/>
      <c r="O469" s="295"/>
    </row>
    <row r="470" spans="1:15" ht="30" x14ac:dyDescent="0.25">
      <c r="A470" s="276">
        <v>459</v>
      </c>
      <c r="B470" s="283" t="s">
        <v>457</v>
      </c>
      <c r="C470" s="281" t="s">
        <v>163</v>
      </c>
      <c r="D470" s="281" t="s">
        <v>116</v>
      </c>
      <c r="E470" s="281" t="s">
        <v>531</v>
      </c>
      <c r="F470" s="276"/>
      <c r="G470" s="27">
        <f>G471</f>
        <v>32613100</v>
      </c>
      <c r="H470" s="27">
        <f t="shared" ref="H470:I471" si="279">H471</f>
        <v>29231900</v>
      </c>
      <c r="I470" s="27">
        <f t="shared" si="279"/>
        <v>29231361.530000001</v>
      </c>
      <c r="J470" s="207">
        <f t="shared" si="271"/>
        <v>99.998157937048234</v>
      </c>
      <c r="M470" s="295"/>
      <c r="N470" s="295"/>
      <c r="O470" s="295"/>
    </row>
    <row r="471" spans="1:15" ht="30" x14ac:dyDescent="0.25">
      <c r="A471" s="276">
        <v>460</v>
      </c>
      <c r="B471" s="282" t="s">
        <v>48</v>
      </c>
      <c r="C471" s="281" t="s">
        <v>163</v>
      </c>
      <c r="D471" s="281" t="s">
        <v>116</v>
      </c>
      <c r="E471" s="281" t="s">
        <v>531</v>
      </c>
      <c r="F471" s="276">
        <v>600</v>
      </c>
      <c r="G471" s="27">
        <f>G472</f>
        <v>32613100</v>
      </c>
      <c r="H471" s="27">
        <f t="shared" si="279"/>
        <v>29231900</v>
      </c>
      <c r="I471" s="27">
        <f t="shared" si="279"/>
        <v>29231361.530000001</v>
      </c>
      <c r="J471" s="207">
        <f t="shared" si="271"/>
        <v>99.998157937048234</v>
      </c>
      <c r="M471" s="295"/>
      <c r="N471" s="295"/>
      <c r="O471" s="295"/>
    </row>
    <row r="472" spans="1:15" x14ac:dyDescent="0.25">
      <c r="A472" s="276">
        <v>461</v>
      </c>
      <c r="B472" s="282" t="s">
        <v>66</v>
      </c>
      <c r="C472" s="281" t="s">
        <v>163</v>
      </c>
      <c r="D472" s="281" t="s">
        <v>116</v>
      </c>
      <c r="E472" s="281" t="s">
        <v>531</v>
      </c>
      <c r="F472" s="276">
        <v>610</v>
      </c>
      <c r="G472" s="27">
        <f>18701900+2303300+11607900</f>
        <v>32613100</v>
      </c>
      <c r="H472" s="27">
        <v>29231900</v>
      </c>
      <c r="I472" s="146">
        <v>29231361.530000001</v>
      </c>
      <c r="J472" s="207">
        <f t="shared" si="271"/>
        <v>99.998157937048234</v>
      </c>
      <c r="M472" s="295"/>
      <c r="N472" s="295"/>
      <c r="O472" s="295"/>
    </row>
    <row r="473" spans="1:15" ht="75" x14ac:dyDescent="0.25">
      <c r="A473" s="276">
        <v>462</v>
      </c>
      <c r="B473" s="283" t="s">
        <v>504</v>
      </c>
      <c r="C473" s="281" t="s">
        <v>163</v>
      </c>
      <c r="D473" s="281" t="s">
        <v>116</v>
      </c>
      <c r="E473" s="281" t="s">
        <v>505</v>
      </c>
      <c r="F473" s="276"/>
      <c r="G473" s="27">
        <f>G474</f>
        <v>2727273</v>
      </c>
      <c r="H473" s="27">
        <f t="shared" ref="H473:I474" si="280">H474</f>
        <v>2727273</v>
      </c>
      <c r="I473" s="27">
        <f t="shared" si="280"/>
        <v>2727273</v>
      </c>
      <c r="J473" s="207">
        <f t="shared" si="271"/>
        <v>100</v>
      </c>
      <c r="M473" s="295"/>
      <c r="N473" s="295"/>
      <c r="O473" s="295"/>
    </row>
    <row r="474" spans="1:15" ht="30" x14ac:dyDescent="0.25">
      <c r="A474" s="276">
        <v>463</v>
      </c>
      <c r="B474" s="282" t="s">
        <v>48</v>
      </c>
      <c r="C474" s="281" t="s">
        <v>163</v>
      </c>
      <c r="D474" s="281" t="s">
        <v>116</v>
      </c>
      <c r="E474" s="281" t="s">
        <v>505</v>
      </c>
      <c r="F474" s="276">
        <v>600</v>
      </c>
      <c r="G474" s="27">
        <f>G475</f>
        <v>2727273</v>
      </c>
      <c r="H474" s="27">
        <f t="shared" si="280"/>
        <v>2727273</v>
      </c>
      <c r="I474" s="27">
        <f t="shared" si="280"/>
        <v>2727273</v>
      </c>
      <c r="J474" s="207">
        <f t="shared" si="271"/>
        <v>100</v>
      </c>
      <c r="M474" s="295"/>
      <c r="N474" s="295"/>
      <c r="O474" s="295"/>
    </row>
    <row r="475" spans="1:15" x14ac:dyDescent="0.25">
      <c r="A475" s="276">
        <v>464</v>
      </c>
      <c r="B475" s="282" t="s">
        <v>66</v>
      </c>
      <c r="C475" s="281" t="s">
        <v>163</v>
      </c>
      <c r="D475" s="281" t="s">
        <v>116</v>
      </c>
      <c r="E475" s="281" t="s">
        <v>505</v>
      </c>
      <c r="F475" s="276">
        <v>610</v>
      </c>
      <c r="G475" s="27">
        <f>2700000+27273</f>
        <v>2727273</v>
      </c>
      <c r="H475" s="27">
        <v>2727273</v>
      </c>
      <c r="I475" s="146">
        <v>2727273</v>
      </c>
      <c r="J475" s="207">
        <f t="shared" si="271"/>
        <v>100</v>
      </c>
      <c r="M475" s="295"/>
      <c r="N475" s="295"/>
      <c r="O475" s="295"/>
    </row>
    <row r="476" spans="1:15" ht="45" x14ac:dyDescent="0.25">
      <c r="A476" s="276">
        <v>465</v>
      </c>
      <c r="B476" s="282" t="s">
        <v>494</v>
      </c>
      <c r="C476" s="281" t="s">
        <v>163</v>
      </c>
      <c r="D476" s="281" t="s">
        <v>116</v>
      </c>
      <c r="E476" s="281" t="s">
        <v>495</v>
      </c>
      <c r="F476" s="276"/>
      <c r="G476" s="27">
        <f>G477</f>
        <v>3940000</v>
      </c>
      <c r="H476" s="27">
        <f t="shared" ref="H476:I477" si="281">H477</f>
        <v>3940000</v>
      </c>
      <c r="I476" s="27">
        <f t="shared" si="281"/>
        <v>3940000</v>
      </c>
      <c r="J476" s="207">
        <f t="shared" si="271"/>
        <v>100</v>
      </c>
      <c r="M476" s="295"/>
      <c r="N476" s="295"/>
      <c r="O476" s="295"/>
    </row>
    <row r="477" spans="1:15" ht="30" x14ac:dyDescent="0.25">
      <c r="A477" s="276">
        <v>466</v>
      </c>
      <c r="B477" s="282" t="s">
        <v>48</v>
      </c>
      <c r="C477" s="281" t="s">
        <v>163</v>
      </c>
      <c r="D477" s="281" t="s">
        <v>116</v>
      </c>
      <c r="E477" s="281" t="s">
        <v>495</v>
      </c>
      <c r="F477" s="276">
        <v>600</v>
      </c>
      <c r="G477" s="27">
        <f>G478</f>
        <v>3940000</v>
      </c>
      <c r="H477" s="27">
        <f t="shared" si="281"/>
        <v>3940000</v>
      </c>
      <c r="I477" s="27">
        <f t="shared" si="281"/>
        <v>3940000</v>
      </c>
      <c r="J477" s="207">
        <f t="shared" si="271"/>
        <v>100</v>
      </c>
      <c r="M477" s="295"/>
      <c r="N477" s="295"/>
      <c r="O477" s="295"/>
    </row>
    <row r="478" spans="1:15" x14ac:dyDescent="0.25">
      <c r="A478" s="276">
        <v>467</v>
      </c>
      <c r="B478" s="282" t="s">
        <v>66</v>
      </c>
      <c r="C478" s="281" t="s">
        <v>163</v>
      </c>
      <c r="D478" s="281" t="s">
        <v>116</v>
      </c>
      <c r="E478" s="281" t="s">
        <v>495</v>
      </c>
      <c r="F478" s="276">
        <v>610</v>
      </c>
      <c r="G478" s="27">
        <f>160000+3900000-120000</f>
        <v>3940000</v>
      </c>
      <c r="H478" s="27">
        <v>3940000</v>
      </c>
      <c r="I478" s="146">
        <v>3940000</v>
      </c>
      <c r="J478" s="207">
        <f t="shared" si="271"/>
        <v>100</v>
      </c>
      <c r="M478" s="295"/>
      <c r="N478" s="295"/>
      <c r="O478" s="295"/>
    </row>
    <row r="479" spans="1:15" ht="75" x14ac:dyDescent="0.25">
      <c r="A479" s="276">
        <v>468</v>
      </c>
      <c r="B479" s="55" t="s">
        <v>333</v>
      </c>
      <c r="C479" s="281">
        <v>951</v>
      </c>
      <c r="D479" s="281" t="s">
        <v>116</v>
      </c>
      <c r="E479" s="281" t="s">
        <v>243</v>
      </c>
      <c r="F479" s="276"/>
      <c r="G479" s="27">
        <f t="shared" ref="G479:I479" si="282">G480</f>
        <v>3998000</v>
      </c>
      <c r="H479" s="27">
        <f t="shared" si="282"/>
        <v>2948500</v>
      </c>
      <c r="I479" s="27">
        <f t="shared" si="282"/>
        <v>2948481.28</v>
      </c>
      <c r="J479" s="207">
        <f t="shared" si="271"/>
        <v>99.999365100898757</v>
      </c>
      <c r="M479" s="295"/>
      <c r="N479" s="295"/>
      <c r="O479" s="295"/>
    </row>
    <row r="480" spans="1:15" ht="30" x14ac:dyDescent="0.25">
      <c r="A480" s="276">
        <v>469</v>
      </c>
      <c r="B480" s="282" t="s">
        <v>48</v>
      </c>
      <c r="C480" s="281">
        <v>951</v>
      </c>
      <c r="D480" s="281" t="s">
        <v>116</v>
      </c>
      <c r="E480" s="281" t="s">
        <v>243</v>
      </c>
      <c r="F480" s="276">
        <v>600</v>
      </c>
      <c r="G480" s="27">
        <f t="shared" ref="G480:I480" si="283">G481</f>
        <v>3998000</v>
      </c>
      <c r="H480" s="27">
        <f t="shared" si="283"/>
        <v>2948500</v>
      </c>
      <c r="I480" s="27">
        <f t="shared" si="283"/>
        <v>2948481.28</v>
      </c>
      <c r="J480" s="207">
        <f t="shared" si="271"/>
        <v>99.999365100898757</v>
      </c>
      <c r="M480" s="295"/>
      <c r="N480" s="295"/>
      <c r="O480" s="295"/>
    </row>
    <row r="481" spans="1:15" x14ac:dyDescent="0.25">
      <c r="A481" s="276">
        <v>470</v>
      </c>
      <c r="B481" s="282" t="s">
        <v>66</v>
      </c>
      <c r="C481" s="281">
        <v>951</v>
      </c>
      <c r="D481" s="281" t="s">
        <v>116</v>
      </c>
      <c r="E481" s="281" t="s">
        <v>243</v>
      </c>
      <c r="F481" s="276">
        <v>610</v>
      </c>
      <c r="G481" s="27">
        <v>3998000</v>
      </c>
      <c r="H481" s="27">
        <v>2948500</v>
      </c>
      <c r="I481" s="146">
        <v>2948481.28</v>
      </c>
      <c r="J481" s="207">
        <f t="shared" si="271"/>
        <v>99.999365100898757</v>
      </c>
      <c r="M481" s="295"/>
      <c r="N481" s="295"/>
      <c r="O481" s="295"/>
    </row>
    <row r="482" spans="1:15" ht="109.5" customHeight="1" x14ac:dyDescent="0.25">
      <c r="A482" s="276">
        <v>471</v>
      </c>
      <c r="B482" s="279" t="s">
        <v>334</v>
      </c>
      <c r="C482" s="281">
        <v>951</v>
      </c>
      <c r="D482" s="281" t="s">
        <v>116</v>
      </c>
      <c r="E482" s="281" t="s">
        <v>199</v>
      </c>
      <c r="F482" s="276"/>
      <c r="G482" s="27">
        <f t="shared" ref="G482:I483" si="284">G483</f>
        <v>42706700</v>
      </c>
      <c r="H482" s="27">
        <f t="shared" si="284"/>
        <v>44153300</v>
      </c>
      <c r="I482" s="27">
        <f t="shared" si="284"/>
        <v>44134954.460000001</v>
      </c>
      <c r="J482" s="207">
        <f t="shared" si="271"/>
        <v>99.9584503536542</v>
      </c>
      <c r="M482" s="295"/>
      <c r="N482" s="295"/>
      <c r="O482" s="295"/>
    </row>
    <row r="483" spans="1:15" ht="30" x14ac:dyDescent="0.25">
      <c r="A483" s="276">
        <v>472</v>
      </c>
      <c r="B483" s="282" t="s">
        <v>48</v>
      </c>
      <c r="C483" s="281">
        <v>951</v>
      </c>
      <c r="D483" s="281" t="s">
        <v>116</v>
      </c>
      <c r="E483" s="281" t="s">
        <v>199</v>
      </c>
      <c r="F483" s="276">
        <v>600</v>
      </c>
      <c r="G483" s="27">
        <f t="shared" si="284"/>
        <v>42706700</v>
      </c>
      <c r="H483" s="27">
        <f t="shared" si="284"/>
        <v>44153300</v>
      </c>
      <c r="I483" s="27">
        <f t="shared" si="284"/>
        <v>44134954.460000001</v>
      </c>
      <c r="J483" s="207">
        <f t="shared" si="271"/>
        <v>99.9584503536542</v>
      </c>
      <c r="M483" s="295"/>
      <c r="N483" s="295"/>
      <c r="O483" s="295"/>
    </row>
    <row r="484" spans="1:15" x14ac:dyDescent="0.25">
      <c r="A484" s="276">
        <v>473</v>
      </c>
      <c r="B484" s="282" t="s">
        <v>66</v>
      </c>
      <c r="C484" s="281">
        <v>951</v>
      </c>
      <c r="D484" s="281" t="s">
        <v>116</v>
      </c>
      <c r="E484" s="281" t="s">
        <v>199</v>
      </c>
      <c r="F484" s="276">
        <v>610</v>
      </c>
      <c r="G484" s="27">
        <f>42746900-1989400+880600+1068600</f>
        <v>42706700</v>
      </c>
      <c r="H484" s="27">
        <v>44153300</v>
      </c>
      <c r="I484" s="146">
        <v>44134954.460000001</v>
      </c>
      <c r="J484" s="207">
        <f t="shared" si="271"/>
        <v>99.9584503536542</v>
      </c>
      <c r="M484" s="295"/>
      <c r="N484" s="295"/>
      <c r="O484" s="295"/>
    </row>
    <row r="485" spans="1:15" ht="60" x14ac:dyDescent="0.25">
      <c r="A485" s="276">
        <v>474</v>
      </c>
      <c r="B485" s="283" t="s">
        <v>466</v>
      </c>
      <c r="C485" s="281" t="s">
        <v>163</v>
      </c>
      <c r="D485" s="281" t="s">
        <v>116</v>
      </c>
      <c r="E485" s="281" t="s">
        <v>467</v>
      </c>
      <c r="F485" s="276"/>
      <c r="G485" s="27">
        <f>G486</f>
        <v>33912798.939999998</v>
      </c>
      <c r="H485" s="27">
        <f t="shared" ref="H485:I486" si="285">H486</f>
        <v>33912798.939999998</v>
      </c>
      <c r="I485" s="27">
        <f t="shared" si="285"/>
        <v>32036000.850000001</v>
      </c>
      <c r="J485" s="207">
        <f t="shared" si="271"/>
        <v>94.465811880285941</v>
      </c>
      <c r="M485" s="295"/>
      <c r="N485" s="295"/>
      <c r="O485" s="295"/>
    </row>
    <row r="486" spans="1:15" ht="30" x14ac:dyDescent="0.25">
      <c r="A486" s="276">
        <v>475</v>
      </c>
      <c r="B486" s="282" t="s">
        <v>48</v>
      </c>
      <c r="C486" s="281" t="s">
        <v>163</v>
      </c>
      <c r="D486" s="281" t="s">
        <v>116</v>
      </c>
      <c r="E486" s="281" t="s">
        <v>467</v>
      </c>
      <c r="F486" s="276">
        <v>600</v>
      </c>
      <c r="G486" s="27">
        <f>G487</f>
        <v>33912798.939999998</v>
      </c>
      <c r="H486" s="27">
        <f t="shared" si="285"/>
        <v>33912798.939999998</v>
      </c>
      <c r="I486" s="27">
        <f t="shared" si="285"/>
        <v>32036000.850000001</v>
      </c>
      <c r="J486" s="207">
        <f t="shared" si="271"/>
        <v>94.465811880285941</v>
      </c>
      <c r="M486" s="295"/>
      <c r="N486" s="295"/>
      <c r="O486" s="295"/>
    </row>
    <row r="487" spans="1:15" x14ac:dyDescent="0.25">
      <c r="A487" s="276">
        <v>476</v>
      </c>
      <c r="B487" s="282" t="s">
        <v>66</v>
      </c>
      <c r="C487" s="281" t="s">
        <v>163</v>
      </c>
      <c r="D487" s="281" t="s">
        <v>116</v>
      </c>
      <c r="E487" s="281" t="s">
        <v>467</v>
      </c>
      <c r="F487" s="276">
        <v>610</v>
      </c>
      <c r="G487" s="27">
        <f>310972.66+4624834+30785850-0.48-1808857.24</f>
        <v>33912798.939999998</v>
      </c>
      <c r="H487" s="27">
        <v>33912798.939999998</v>
      </c>
      <c r="I487" s="146">
        <v>32036000.850000001</v>
      </c>
      <c r="J487" s="207">
        <f t="shared" si="271"/>
        <v>94.465811880285941</v>
      </c>
      <c r="M487" s="295"/>
      <c r="N487" s="295"/>
      <c r="O487" s="295"/>
    </row>
    <row r="488" spans="1:15" ht="60" x14ac:dyDescent="0.25">
      <c r="A488" s="276">
        <v>477</v>
      </c>
      <c r="B488" s="283" t="s">
        <v>358</v>
      </c>
      <c r="C488" s="281" t="s">
        <v>163</v>
      </c>
      <c r="D488" s="281" t="s">
        <v>116</v>
      </c>
      <c r="E488" s="281" t="s">
        <v>359</v>
      </c>
      <c r="F488" s="276"/>
      <c r="G488" s="27">
        <f t="shared" ref="G488:I489" si="286">G489</f>
        <v>2201710</v>
      </c>
      <c r="H488" s="27">
        <f t="shared" si="286"/>
        <v>2201710</v>
      </c>
      <c r="I488" s="27">
        <f t="shared" si="286"/>
        <v>2201709.6</v>
      </c>
      <c r="J488" s="207">
        <f t="shared" si="271"/>
        <v>99.999981832303078</v>
      </c>
      <c r="L488" s="46"/>
      <c r="M488" s="295"/>
      <c r="N488" s="295"/>
      <c r="O488" s="295"/>
    </row>
    <row r="489" spans="1:15" ht="30" x14ac:dyDescent="0.25">
      <c r="A489" s="276">
        <v>478</v>
      </c>
      <c r="B489" s="282" t="s">
        <v>48</v>
      </c>
      <c r="C489" s="281" t="s">
        <v>163</v>
      </c>
      <c r="D489" s="281" t="s">
        <v>116</v>
      </c>
      <c r="E489" s="281" t="s">
        <v>359</v>
      </c>
      <c r="F489" s="276">
        <v>600</v>
      </c>
      <c r="G489" s="27">
        <f t="shared" si="286"/>
        <v>2201710</v>
      </c>
      <c r="H489" s="27">
        <f t="shared" si="286"/>
        <v>2201710</v>
      </c>
      <c r="I489" s="27">
        <f t="shared" si="286"/>
        <v>2201709.6</v>
      </c>
      <c r="J489" s="207">
        <f t="shared" si="271"/>
        <v>99.999981832303078</v>
      </c>
      <c r="L489" s="46"/>
      <c r="M489" s="295"/>
      <c r="N489" s="295"/>
      <c r="O489" s="295"/>
    </row>
    <row r="490" spans="1:15" x14ac:dyDescent="0.25">
      <c r="A490" s="276">
        <v>479</v>
      </c>
      <c r="B490" s="282" t="s">
        <v>66</v>
      </c>
      <c r="C490" s="281" t="s">
        <v>163</v>
      </c>
      <c r="D490" s="281" t="s">
        <v>116</v>
      </c>
      <c r="E490" s="281" t="s">
        <v>359</v>
      </c>
      <c r="F490" s="276">
        <v>610</v>
      </c>
      <c r="G490" s="27">
        <f>1790000+411710</f>
        <v>2201710</v>
      </c>
      <c r="H490" s="27">
        <v>2201710</v>
      </c>
      <c r="I490" s="146">
        <v>2201709.6</v>
      </c>
      <c r="J490" s="207">
        <f t="shared" si="271"/>
        <v>99.999981832303078</v>
      </c>
      <c r="L490" s="46"/>
      <c r="M490" s="295"/>
      <c r="N490" s="295"/>
      <c r="O490" s="295"/>
    </row>
    <row r="491" spans="1:15" ht="105" x14ac:dyDescent="0.25">
      <c r="A491" s="276">
        <v>480</v>
      </c>
      <c r="B491" s="280" t="s">
        <v>335</v>
      </c>
      <c r="C491" s="281">
        <v>951</v>
      </c>
      <c r="D491" s="281" t="s">
        <v>116</v>
      </c>
      <c r="E491" s="281" t="s">
        <v>200</v>
      </c>
      <c r="F491" s="276"/>
      <c r="G491" s="27">
        <f t="shared" ref="G491:I492" si="287">G492</f>
        <v>174832000</v>
      </c>
      <c r="H491" s="27">
        <f t="shared" si="287"/>
        <v>178170200</v>
      </c>
      <c r="I491" s="27">
        <f t="shared" si="287"/>
        <v>178103362</v>
      </c>
      <c r="J491" s="207">
        <f t="shared" si="271"/>
        <v>99.962486431513241</v>
      </c>
      <c r="M491" s="295"/>
      <c r="N491" s="295"/>
      <c r="O491" s="295"/>
    </row>
    <row r="492" spans="1:15" ht="30" x14ac:dyDescent="0.25">
      <c r="A492" s="276">
        <v>481</v>
      </c>
      <c r="B492" s="282" t="s">
        <v>48</v>
      </c>
      <c r="C492" s="281">
        <v>951</v>
      </c>
      <c r="D492" s="281" t="s">
        <v>116</v>
      </c>
      <c r="E492" s="281" t="s">
        <v>200</v>
      </c>
      <c r="F492" s="276">
        <v>600</v>
      </c>
      <c r="G492" s="27">
        <f t="shared" si="287"/>
        <v>174832000</v>
      </c>
      <c r="H492" s="27">
        <f t="shared" si="287"/>
        <v>178170200</v>
      </c>
      <c r="I492" s="27">
        <f t="shared" si="287"/>
        <v>178103362</v>
      </c>
      <c r="J492" s="207">
        <f t="shared" si="271"/>
        <v>99.962486431513241</v>
      </c>
      <c r="M492" s="295"/>
      <c r="N492" s="295"/>
      <c r="O492" s="295"/>
    </row>
    <row r="493" spans="1:15" x14ac:dyDescent="0.25">
      <c r="A493" s="276">
        <v>482</v>
      </c>
      <c r="B493" s="282" t="s">
        <v>66</v>
      </c>
      <c r="C493" s="281">
        <v>951</v>
      </c>
      <c r="D493" s="281" t="s">
        <v>116</v>
      </c>
      <c r="E493" s="281" t="s">
        <v>200</v>
      </c>
      <c r="F493" s="276">
        <v>610</v>
      </c>
      <c r="G493" s="27">
        <f>167311436.78-3974436.78+2534300+8960700</f>
        <v>174832000</v>
      </c>
      <c r="H493" s="27">
        <v>178170200</v>
      </c>
      <c r="I493" s="146">
        <v>178103362</v>
      </c>
      <c r="J493" s="207">
        <f t="shared" si="271"/>
        <v>99.962486431513241</v>
      </c>
      <c r="M493" s="148"/>
      <c r="N493" s="148"/>
      <c r="O493" s="295"/>
    </row>
    <row r="494" spans="1:15" ht="93.75" customHeight="1" x14ac:dyDescent="0.25">
      <c r="A494" s="276">
        <v>483</v>
      </c>
      <c r="B494" s="283" t="s">
        <v>552</v>
      </c>
      <c r="C494" s="281" t="s">
        <v>163</v>
      </c>
      <c r="D494" s="281" t="s">
        <v>116</v>
      </c>
      <c r="E494" s="281" t="s">
        <v>490</v>
      </c>
      <c r="F494" s="276"/>
      <c r="G494" s="27">
        <f>G495</f>
        <v>3142059.7600000007</v>
      </c>
      <c r="H494" s="27">
        <f t="shared" ref="H494:I494" si="288">H495</f>
        <v>3142059.76</v>
      </c>
      <c r="I494" s="27">
        <f t="shared" si="288"/>
        <v>3142059.76</v>
      </c>
      <c r="J494" s="207">
        <f t="shared" si="271"/>
        <v>100</v>
      </c>
      <c r="M494" s="295"/>
      <c r="N494" s="295"/>
      <c r="O494" s="295"/>
    </row>
    <row r="495" spans="1:15" ht="30" x14ac:dyDescent="0.25">
      <c r="A495" s="276">
        <v>484</v>
      </c>
      <c r="B495" s="282" t="s">
        <v>48</v>
      </c>
      <c r="C495" s="281" t="s">
        <v>163</v>
      </c>
      <c r="D495" s="281" t="s">
        <v>116</v>
      </c>
      <c r="E495" s="281" t="s">
        <v>490</v>
      </c>
      <c r="F495" s="276">
        <v>600</v>
      </c>
      <c r="G495" s="27">
        <f>G496</f>
        <v>3142059.7600000007</v>
      </c>
      <c r="H495" s="27">
        <f t="shared" ref="H495:I495" si="289">H496</f>
        <v>3142059.76</v>
      </c>
      <c r="I495" s="27">
        <f t="shared" si="289"/>
        <v>3142059.76</v>
      </c>
      <c r="J495" s="207">
        <f t="shared" si="271"/>
        <v>100</v>
      </c>
      <c r="M495" s="148"/>
      <c r="N495" s="148"/>
      <c r="O495" s="295"/>
    </row>
    <row r="496" spans="1:15" x14ac:dyDescent="0.25">
      <c r="A496" s="276">
        <v>485</v>
      </c>
      <c r="B496" s="282" t="s">
        <v>66</v>
      </c>
      <c r="C496" s="281" t="s">
        <v>163</v>
      </c>
      <c r="D496" s="281" t="s">
        <v>116</v>
      </c>
      <c r="E496" s="281" t="s">
        <v>490</v>
      </c>
      <c r="F496" s="276">
        <v>610</v>
      </c>
      <c r="G496" s="27">
        <f>4326400+42000+64400+2352+0.48-1280160.84-12931.88</f>
        <v>3142059.7600000007</v>
      </c>
      <c r="H496" s="27">
        <v>3142059.76</v>
      </c>
      <c r="I496" s="146">
        <v>3142059.76</v>
      </c>
      <c r="J496" s="207">
        <f t="shared" si="271"/>
        <v>100</v>
      </c>
      <c r="M496" s="148"/>
      <c r="N496" s="148"/>
      <c r="O496" s="295"/>
    </row>
    <row r="497" spans="1:15" ht="42.75" customHeight="1" x14ac:dyDescent="0.25">
      <c r="A497" s="276">
        <v>486</v>
      </c>
      <c r="B497" s="282" t="s">
        <v>537</v>
      </c>
      <c r="C497" s="281" t="s">
        <v>163</v>
      </c>
      <c r="D497" s="281" t="s">
        <v>116</v>
      </c>
      <c r="E497" s="281" t="s">
        <v>536</v>
      </c>
      <c r="F497" s="276"/>
      <c r="G497" s="27">
        <f>G498</f>
        <v>2830540</v>
      </c>
      <c r="H497" s="27">
        <f t="shared" ref="H497:I498" si="290">H498</f>
        <v>2619614.7999999998</v>
      </c>
      <c r="I497" s="27">
        <f t="shared" si="290"/>
        <v>2618600.61</v>
      </c>
      <c r="J497" s="207">
        <f t="shared" si="271"/>
        <v>99.961284765989262</v>
      </c>
      <c r="M497" s="148"/>
      <c r="N497" s="148"/>
      <c r="O497" s="295"/>
    </row>
    <row r="498" spans="1:15" ht="30" x14ac:dyDescent="0.25">
      <c r="A498" s="276">
        <v>487</v>
      </c>
      <c r="B498" s="282" t="s">
        <v>522</v>
      </c>
      <c r="C498" s="281" t="s">
        <v>163</v>
      </c>
      <c r="D498" s="281" t="s">
        <v>116</v>
      </c>
      <c r="E498" s="281" t="s">
        <v>536</v>
      </c>
      <c r="F498" s="276">
        <v>600</v>
      </c>
      <c r="G498" s="27">
        <f>G499</f>
        <v>2830540</v>
      </c>
      <c r="H498" s="27">
        <f t="shared" si="290"/>
        <v>2619614.7999999998</v>
      </c>
      <c r="I498" s="27">
        <f t="shared" si="290"/>
        <v>2618600.61</v>
      </c>
      <c r="J498" s="207">
        <f t="shared" si="271"/>
        <v>99.961284765989262</v>
      </c>
      <c r="M498" s="148"/>
      <c r="N498" s="148"/>
      <c r="O498" s="295"/>
    </row>
    <row r="499" spans="1:15" x14ac:dyDescent="0.25">
      <c r="A499" s="276">
        <v>488</v>
      </c>
      <c r="B499" s="282" t="s">
        <v>530</v>
      </c>
      <c r="C499" s="281" t="s">
        <v>163</v>
      </c>
      <c r="D499" s="281" t="s">
        <v>116</v>
      </c>
      <c r="E499" s="281" t="s">
        <v>536</v>
      </c>
      <c r="F499" s="276">
        <v>610</v>
      </c>
      <c r="G499" s="27">
        <f>2577430+253110</f>
        <v>2830540</v>
      </c>
      <c r="H499" s="27">
        <v>2619614.7999999998</v>
      </c>
      <c r="I499" s="146">
        <v>2618600.61</v>
      </c>
      <c r="J499" s="207">
        <f t="shared" si="271"/>
        <v>99.961284765989262</v>
      </c>
      <c r="M499" s="148"/>
      <c r="N499" s="148"/>
      <c r="O499" s="295"/>
    </row>
    <row r="500" spans="1:15" ht="50.25" customHeight="1" x14ac:dyDescent="0.25">
      <c r="A500" s="276">
        <v>489</v>
      </c>
      <c r="B500" s="282" t="s">
        <v>555</v>
      </c>
      <c r="C500" s="281" t="s">
        <v>163</v>
      </c>
      <c r="D500" s="281" t="s">
        <v>116</v>
      </c>
      <c r="E500" s="281" t="s">
        <v>546</v>
      </c>
      <c r="F500" s="276"/>
      <c r="G500" s="27">
        <f>G501</f>
        <v>2218554.7300000004</v>
      </c>
      <c r="H500" s="27">
        <f t="shared" ref="H500:I501" si="291">H501</f>
        <v>2218554.73</v>
      </c>
      <c r="I500" s="27">
        <f t="shared" si="291"/>
        <v>2089265.84</v>
      </c>
      <c r="J500" s="207">
        <f t="shared" si="271"/>
        <v>94.17238221569589</v>
      </c>
      <c r="M500" s="148"/>
      <c r="N500" s="148"/>
      <c r="O500" s="295"/>
    </row>
    <row r="501" spans="1:15" ht="30" x14ac:dyDescent="0.25">
      <c r="A501" s="276">
        <v>490</v>
      </c>
      <c r="B501" s="282" t="s">
        <v>543</v>
      </c>
      <c r="C501" s="281" t="s">
        <v>163</v>
      </c>
      <c r="D501" s="281" t="s">
        <v>116</v>
      </c>
      <c r="E501" s="281" t="s">
        <v>546</v>
      </c>
      <c r="F501" s="276">
        <v>600</v>
      </c>
      <c r="G501" s="27">
        <f>G502</f>
        <v>2218554.7300000004</v>
      </c>
      <c r="H501" s="27">
        <f t="shared" si="291"/>
        <v>2218554.73</v>
      </c>
      <c r="I501" s="27">
        <f t="shared" si="291"/>
        <v>2089265.84</v>
      </c>
      <c r="J501" s="207">
        <f t="shared" si="271"/>
        <v>94.17238221569589</v>
      </c>
      <c r="M501" s="148"/>
      <c r="N501" s="148"/>
      <c r="O501" s="295"/>
    </row>
    <row r="502" spans="1:15" x14ac:dyDescent="0.25">
      <c r="A502" s="276">
        <v>491</v>
      </c>
      <c r="B502" s="282" t="s">
        <v>544</v>
      </c>
      <c r="C502" s="281" t="s">
        <v>163</v>
      </c>
      <c r="D502" s="281" t="s">
        <v>116</v>
      </c>
      <c r="E502" s="281" t="s">
        <v>546</v>
      </c>
      <c r="F502" s="276">
        <v>610</v>
      </c>
      <c r="G502" s="27">
        <f>3860720+657834.73-2300000</f>
        <v>2218554.7300000004</v>
      </c>
      <c r="H502" s="27">
        <v>2218554.73</v>
      </c>
      <c r="I502" s="146">
        <v>2089265.84</v>
      </c>
      <c r="J502" s="207">
        <f t="shared" si="271"/>
        <v>94.17238221569589</v>
      </c>
      <c r="M502" s="148"/>
      <c r="N502" s="148"/>
      <c r="O502" s="295"/>
    </row>
    <row r="503" spans="1:15" ht="48.75" customHeight="1" x14ac:dyDescent="0.25">
      <c r="A503" s="276">
        <v>492</v>
      </c>
      <c r="B503" s="282" t="s">
        <v>554</v>
      </c>
      <c r="C503" s="281" t="s">
        <v>163</v>
      </c>
      <c r="D503" s="281" t="s">
        <v>116</v>
      </c>
      <c r="E503" s="281" t="s">
        <v>542</v>
      </c>
      <c r="F503" s="276"/>
      <c r="G503" s="27">
        <f>G504</f>
        <v>800000</v>
      </c>
      <c r="H503" s="27">
        <f t="shared" ref="H503:I504" si="292">H504</f>
        <v>800000</v>
      </c>
      <c r="I503" s="27">
        <f t="shared" si="292"/>
        <v>799999.68</v>
      </c>
      <c r="J503" s="207">
        <f t="shared" si="271"/>
        <v>99.999960000000016</v>
      </c>
      <c r="M503" s="148"/>
      <c r="N503" s="148"/>
      <c r="O503" s="295"/>
    </row>
    <row r="504" spans="1:15" ht="30" x14ac:dyDescent="0.25">
      <c r="A504" s="276">
        <v>493</v>
      </c>
      <c r="B504" s="282" t="s">
        <v>48</v>
      </c>
      <c r="C504" s="281" t="s">
        <v>163</v>
      </c>
      <c r="D504" s="281" t="s">
        <v>116</v>
      </c>
      <c r="E504" s="281" t="s">
        <v>542</v>
      </c>
      <c r="F504" s="276">
        <v>600</v>
      </c>
      <c r="G504" s="27">
        <f>G505</f>
        <v>800000</v>
      </c>
      <c r="H504" s="27">
        <f t="shared" si="292"/>
        <v>800000</v>
      </c>
      <c r="I504" s="27">
        <f t="shared" si="292"/>
        <v>799999.68</v>
      </c>
      <c r="J504" s="207">
        <f t="shared" si="271"/>
        <v>99.999960000000016</v>
      </c>
      <c r="M504" s="148"/>
      <c r="N504" s="148"/>
      <c r="O504" s="295"/>
    </row>
    <row r="505" spans="1:15" x14ac:dyDescent="0.25">
      <c r="A505" s="276">
        <v>494</v>
      </c>
      <c r="B505" s="282" t="s">
        <v>544</v>
      </c>
      <c r="C505" s="281" t="s">
        <v>163</v>
      </c>
      <c r="D505" s="281" t="s">
        <v>116</v>
      </c>
      <c r="E505" s="281" t="s">
        <v>542</v>
      </c>
      <c r="F505" s="276">
        <v>610</v>
      </c>
      <c r="G505" s="27">
        <v>800000</v>
      </c>
      <c r="H505" s="27">
        <v>800000</v>
      </c>
      <c r="I505" s="146">
        <v>799999.68</v>
      </c>
      <c r="J505" s="207">
        <f t="shared" si="271"/>
        <v>99.999960000000016</v>
      </c>
      <c r="M505" s="148"/>
      <c r="N505" s="148"/>
      <c r="O505" s="295"/>
    </row>
    <row r="506" spans="1:15" ht="62.25" customHeight="1" x14ac:dyDescent="0.25">
      <c r="A506" s="276">
        <v>495</v>
      </c>
      <c r="B506" s="282" t="s">
        <v>548</v>
      </c>
      <c r="C506" s="281" t="s">
        <v>163</v>
      </c>
      <c r="D506" s="281" t="s">
        <v>116</v>
      </c>
      <c r="E506" s="281" t="s">
        <v>547</v>
      </c>
      <c r="F506" s="276"/>
      <c r="G506" s="27">
        <f>G507</f>
        <v>400000</v>
      </c>
      <c r="H506" s="27">
        <f t="shared" ref="H506:I507" si="293">H507</f>
        <v>400000</v>
      </c>
      <c r="I506" s="27">
        <f t="shared" si="293"/>
        <v>400000</v>
      </c>
      <c r="J506" s="207">
        <f t="shared" si="271"/>
        <v>100</v>
      </c>
      <c r="M506" s="148"/>
      <c r="N506" s="148"/>
      <c r="O506" s="295"/>
    </row>
    <row r="507" spans="1:15" ht="36.75" customHeight="1" x14ac:dyDescent="0.25">
      <c r="A507" s="276">
        <v>496</v>
      </c>
      <c r="B507" s="282" t="s">
        <v>549</v>
      </c>
      <c r="C507" s="281" t="s">
        <v>163</v>
      </c>
      <c r="D507" s="281" t="s">
        <v>116</v>
      </c>
      <c r="E507" s="281" t="s">
        <v>547</v>
      </c>
      <c r="F507" s="276">
        <v>600</v>
      </c>
      <c r="G507" s="27">
        <f>G508</f>
        <v>400000</v>
      </c>
      <c r="H507" s="27">
        <f t="shared" si="293"/>
        <v>400000</v>
      </c>
      <c r="I507" s="27">
        <f t="shared" si="293"/>
        <v>400000</v>
      </c>
      <c r="J507" s="207">
        <f t="shared" si="271"/>
        <v>100</v>
      </c>
      <c r="M507" s="148"/>
      <c r="N507" s="148"/>
      <c r="O507" s="295"/>
    </row>
    <row r="508" spans="1:15" x14ac:dyDescent="0.25">
      <c r="A508" s="276">
        <v>497</v>
      </c>
      <c r="B508" s="282" t="s">
        <v>66</v>
      </c>
      <c r="C508" s="281" t="s">
        <v>163</v>
      </c>
      <c r="D508" s="281" t="s">
        <v>116</v>
      </c>
      <c r="E508" s="281" t="s">
        <v>547</v>
      </c>
      <c r="F508" s="276">
        <v>610</v>
      </c>
      <c r="G508" s="27">
        <v>400000</v>
      </c>
      <c r="H508" s="27">
        <v>400000</v>
      </c>
      <c r="I508" s="146">
        <v>400000</v>
      </c>
      <c r="J508" s="207">
        <f t="shared" si="271"/>
        <v>100</v>
      </c>
      <c r="M508" s="148"/>
      <c r="N508" s="148"/>
      <c r="O508" s="295"/>
    </row>
    <row r="509" spans="1:15" ht="60" x14ac:dyDescent="0.25">
      <c r="A509" s="276">
        <v>498</v>
      </c>
      <c r="B509" s="282" t="s">
        <v>583</v>
      </c>
      <c r="C509" s="281" t="s">
        <v>163</v>
      </c>
      <c r="D509" s="281" t="s">
        <v>116</v>
      </c>
      <c r="E509" s="281" t="s">
        <v>582</v>
      </c>
      <c r="F509" s="276"/>
      <c r="G509" s="27">
        <f>G510</f>
        <v>2300000</v>
      </c>
      <c r="H509" s="27">
        <f t="shared" ref="H509:I509" si="294">H510</f>
        <v>2300000</v>
      </c>
      <c r="I509" s="27">
        <f t="shared" si="294"/>
        <v>2177325.9700000002</v>
      </c>
      <c r="J509" s="207">
        <f t="shared" si="271"/>
        <v>94.666346521739143</v>
      </c>
      <c r="M509" s="148"/>
      <c r="N509" s="148"/>
      <c r="O509" s="295"/>
    </row>
    <row r="510" spans="1:15" ht="30" x14ac:dyDescent="0.25">
      <c r="A510" s="276">
        <v>499</v>
      </c>
      <c r="B510" s="282" t="s">
        <v>48</v>
      </c>
      <c r="C510" s="281" t="s">
        <v>163</v>
      </c>
      <c r="D510" s="281" t="s">
        <v>116</v>
      </c>
      <c r="E510" s="281" t="s">
        <v>582</v>
      </c>
      <c r="F510" s="276">
        <v>600</v>
      </c>
      <c r="G510" s="27">
        <f>G511</f>
        <v>2300000</v>
      </c>
      <c r="H510" s="27">
        <f t="shared" ref="H510:I510" si="295">H511</f>
        <v>2300000</v>
      </c>
      <c r="I510" s="27">
        <f t="shared" si="295"/>
        <v>2177325.9700000002</v>
      </c>
      <c r="J510" s="207">
        <f t="shared" si="271"/>
        <v>94.666346521739143</v>
      </c>
      <c r="M510" s="148"/>
      <c r="N510" s="148"/>
      <c r="O510" s="295"/>
    </row>
    <row r="511" spans="1:15" x14ac:dyDescent="0.25">
      <c r="A511" s="276">
        <v>500</v>
      </c>
      <c r="B511" s="282" t="s">
        <v>66</v>
      </c>
      <c r="C511" s="281" t="s">
        <v>163</v>
      </c>
      <c r="D511" s="281" t="s">
        <v>116</v>
      </c>
      <c r="E511" s="281" t="s">
        <v>582</v>
      </c>
      <c r="F511" s="276">
        <v>610</v>
      </c>
      <c r="G511" s="27">
        <v>2300000</v>
      </c>
      <c r="H511" s="27">
        <v>2300000</v>
      </c>
      <c r="I511" s="146">
        <v>2177325.9700000002</v>
      </c>
      <c r="J511" s="207">
        <f t="shared" si="271"/>
        <v>94.666346521739143</v>
      </c>
      <c r="M511" s="148"/>
      <c r="N511" s="148"/>
      <c r="O511" s="295"/>
    </row>
    <row r="512" spans="1:15" ht="45" x14ac:dyDescent="0.25">
      <c r="A512" s="276">
        <v>501</v>
      </c>
      <c r="B512" s="283" t="s">
        <v>447</v>
      </c>
      <c r="C512" s="281" t="s">
        <v>163</v>
      </c>
      <c r="D512" s="281" t="s">
        <v>116</v>
      </c>
      <c r="E512" s="281" t="s">
        <v>448</v>
      </c>
      <c r="F512" s="276"/>
      <c r="G512" s="27">
        <f t="shared" ref="G512:I513" si="296">G513</f>
        <v>480000</v>
      </c>
      <c r="H512" s="27">
        <f t="shared" si="296"/>
        <v>480000</v>
      </c>
      <c r="I512" s="27">
        <f t="shared" si="296"/>
        <v>480000</v>
      </c>
      <c r="J512" s="207">
        <f t="shared" si="271"/>
        <v>100</v>
      </c>
      <c r="M512" s="295"/>
      <c r="N512" s="295"/>
      <c r="O512" s="295"/>
    </row>
    <row r="513" spans="1:15" ht="30" x14ac:dyDescent="0.25">
      <c r="A513" s="276">
        <v>502</v>
      </c>
      <c r="B513" s="282" t="s">
        <v>48</v>
      </c>
      <c r="C513" s="281" t="s">
        <v>163</v>
      </c>
      <c r="D513" s="281" t="s">
        <v>116</v>
      </c>
      <c r="E513" s="281" t="s">
        <v>448</v>
      </c>
      <c r="F513" s="276">
        <v>600</v>
      </c>
      <c r="G513" s="27">
        <f t="shared" si="296"/>
        <v>480000</v>
      </c>
      <c r="H513" s="27">
        <f t="shared" si="296"/>
        <v>480000</v>
      </c>
      <c r="I513" s="27">
        <f t="shared" si="296"/>
        <v>480000</v>
      </c>
      <c r="J513" s="207">
        <f t="shared" si="271"/>
        <v>100</v>
      </c>
      <c r="M513" s="295"/>
      <c r="N513" s="295"/>
      <c r="O513" s="295"/>
    </row>
    <row r="514" spans="1:15" x14ac:dyDescent="0.25">
      <c r="A514" s="276">
        <v>503</v>
      </c>
      <c r="B514" s="282" t="s">
        <v>66</v>
      </c>
      <c r="C514" s="281" t="s">
        <v>163</v>
      </c>
      <c r="D514" s="281" t="s">
        <v>116</v>
      </c>
      <c r="E514" s="281" t="s">
        <v>448</v>
      </c>
      <c r="F514" s="276">
        <v>610</v>
      </c>
      <c r="G514" s="27">
        <v>480000</v>
      </c>
      <c r="H514" s="27">
        <v>480000</v>
      </c>
      <c r="I514" s="146">
        <v>480000</v>
      </c>
      <c r="J514" s="207">
        <f t="shared" si="271"/>
        <v>100</v>
      </c>
      <c r="M514" s="295"/>
      <c r="N514" s="295"/>
      <c r="O514" s="295"/>
    </row>
    <row r="515" spans="1:15" x14ac:dyDescent="0.25">
      <c r="A515" s="276">
        <v>504</v>
      </c>
      <c r="B515" s="282" t="s">
        <v>271</v>
      </c>
      <c r="C515" s="281" t="s">
        <v>163</v>
      </c>
      <c r="D515" s="281" t="s">
        <v>116</v>
      </c>
      <c r="E515" s="281" t="s">
        <v>268</v>
      </c>
      <c r="F515" s="276"/>
      <c r="G515" s="27">
        <f>G516</f>
        <v>330175</v>
      </c>
      <c r="H515" s="27">
        <f>H516</f>
        <v>330175</v>
      </c>
      <c r="I515" s="27">
        <f>I516</f>
        <v>329748.65000000002</v>
      </c>
      <c r="J515" s="207">
        <f t="shared" si="271"/>
        <v>99.870871507533892</v>
      </c>
      <c r="M515" s="295"/>
      <c r="N515" s="295"/>
      <c r="O515" s="295"/>
    </row>
    <row r="516" spans="1:15" x14ac:dyDescent="0.25">
      <c r="A516" s="276">
        <v>505</v>
      </c>
      <c r="B516" s="282" t="s">
        <v>526</v>
      </c>
      <c r="C516" s="281" t="s">
        <v>163</v>
      </c>
      <c r="D516" s="281" t="s">
        <v>116</v>
      </c>
      <c r="E516" s="281" t="s">
        <v>527</v>
      </c>
      <c r="F516" s="276"/>
      <c r="G516" s="27">
        <f>G517</f>
        <v>330175</v>
      </c>
      <c r="H516" s="27">
        <f t="shared" ref="H516:I518" si="297">H517</f>
        <v>330175</v>
      </c>
      <c r="I516" s="27">
        <f t="shared" si="297"/>
        <v>329748.65000000002</v>
      </c>
      <c r="J516" s="207">
        <f t="shared" si="271"/>
        <v>99.870871507533892</v>
      </c>
      <c r="M516" s="295"/>
      <c r="N516" s="295"/>
      <c r="O516" s="295"/>
    </row>
    <row r="517" spans="1:15" ht="60" x14ac:dyDescent="0.25">
      <c r="A517" s="276">
        <v>506</v>
      </c>
      <c r="B517" s="282" t="s">
        <v>528</v>
      </c>
      <c r="C517" s="281" t="s">
        <v>163</v>
      </c>
      <c r="D517" s="281" t="s">
        <v>116</v>
      </c>
      <c r="E517" s="281" t="s">
        <v>529</v>
      </c>
      <c r="F517" s="276"/>
      <c r="G517" s="27">
        <f>G518</f>
        <v>330175</v>
      </c>
      <c r="H517" s="27">
        <f t="shared" si="297"/>
        <v>330175</v>
      </c>
      <c r="I517" s="27">
        <f t="shared" si="297"/>
        <v>329748.65000000002</v>
      </c>
      <c r="J517" s="207">
        <f t="shared" si="271"/>
        <v>99.870871507533892</v>
      </c>
      <c r="M517" s="295"/>
      <c r="N517" s="295"/>
      <c r="O517" s="295"/>
    </row>
    <row r="518" spans="1:15" ht="30" x14ac:dyDescent="0.25">
      <c r="A518" s="276">
        <v>507</v>
      </c>
      <c r="B518" s="282" t="s">
        <v>48</v>
      </c>
      <c r="C518" s="281" t="s">
        <v>163</v>
      </c>
      <c r="D518" s="281" t="s">
        <v>116</v>
      </c>
      <c r="E518" s="281" t="s">
        <v>529</v>
      </c>
      <c r="F518" s="276">
        <v>600</v>
      </c>
      <c r="G518" s="27">
        <f>G519</f>
        <v>330175</v>
      </c>
      <c r="H518" s="27">
        <f t="shared" si="297"/>
        <v>330175</v>
      </c>
      <c r="I518" s="27">
        <f t="shared" si="297"/>
        <v>329748.65000000002</v>
      </c>
      <c r="J518" s="207">
        <f t="shared" si="271"/>
        <v>99.870871507533892</v>
      </c>
      <c r="M518" s="295"/>
      <c r="N518" s="295"/>
      <c r="O518" s="295"/>
    </row>
    <row r="519" spans="1:15" x14ac:dyDescent="0.25">
      <c r="A519" s="276">
        <v>508</v>
      </c>
      <c r="B519" s="282" t="s">
        <v>530</v>
      </c>
      <c r="C519" s="281" t="s">
        <v>163</v>
      </c>
      <c r="D519" s="281" t="s">
        <v>116</v>
      </c>
      <c r="E519" s="281" t="s">
        <v>529</v>
      </c>
      <c r="F519" s="276">
        <v>610</v>
      </c>
      <c r="G519" s="27">
        <f>93975+118500+117700</f>
        <v>330175</v>
      </c>
      <c r="H519" s="27">
        <v>330175</v>
      </c>
      <c r="I519" s="27">
        <v>329748.65000000002</v>
      </c>
      <c r="J519" s="207">
        <f t="shared" si="271"/>
        <v>99.870871507533892</v>
      </c>
      <c r="M519" s="295"/>
      <c r="N519" s="295"/>
      <c r="O519" s="295"/>
    </row>
    <row r="520" spans="1:15" x14ac:dyDescent="0.25">
      <c r="A520" s="276">
        <v>509</v>
      </c>
      <c r="B520" s="283" t="s">
        <v>159</v>
      </c>
      <c r="C520" s="281">
        <v>951</v>
      </c>
      <c r="D520" s="281" t="s">
        <v>165</v>
      </c>
      <c r="E520" s="281"/>
      <c r="F520" s="276"/>
      <c r="G520" s="27">
        <f t="shared" ref="G520:I520" si="298">G521</f>
        <v>42905688.139999993</v>
      </c>
      <c r="H520" s="27">
        <f t="shared" si="298"/>
        <v>43815688.140000001</v>
      </c>
      <c r="I520" s="27">
        <f t="shared" si="298"/>
        <v>43194638.629999995</v>
      </c>
      <c r="J520" s="207">
        <f t="shared" si="271"/>
        <v>98.582586428825152</v>
      </c>
      <c r="M520" s="295"/>
      <c r="N520" s="295"/>
      <c r="O520" s="295"/>
    </row>
    <row r="521" spans="1:15" ht="30" x14ac:dyDescent="0.25">
      <c r="A521" s="276">
        <v>510</v>
      </c>
      <c r="B521" s="277" t="s">
        <v>53</v>
      </c>
      <c r="C521" s="281" t="s">
        <v>163</v>
      </c>
      <c r="D521" s="281" t="s">
        <v>165</v>
      </c>
      <c r="E521" s="281" t="s">
        <v>182</v>
      </c>
      <c r="F521" s="276"/>
      <c r="G521" s="27">
        <f t="shared" ref="G521" si="299">G522+G526</f>
        <v>42905688.139999993</v>
      </c>
      <c r="H521" s="27">
        <f t="shared" ref="H521:I521" si="300">H522+H526</f>
        <v>43815688.140000001</v>
      </c>
      <c r="I521" s="27">
        <f t="shared" si="300"/>
        <v>43194638.629999995</v>
      </c>
      <c r="J521" s="207">
        <f t="shared" si="271"/>
        <v>98.582586428825152</v>
      </c>
      <c r="M521" s="295"/>
      <c r="N521" s="295"/>
      <c r="O521" s="295"/>
    </row>
    <row r="522" spans="1:15" x14ac:dyDescent="0.25">
      <c r="A522" s="276">
        <v>511</v>
      </c>
      <c r="B522" s="277" t="s">
        <v>134</v>
      </c>
      <c r="C522" s="281" t="s">
        <v>163</v>
      </c>
      <c r="D522" s="281" t="s">
        <v>165</v>
      </c>
      <c r="E522" s="281" t="s">
        <v>197</v>
      </c>
      <c r="F522" s="276"/>
      <c r="G522" s="27">
        <f t="shared" ref="G522:I523" si="301">G523</f>
        <v>2326600</v>
      </c>
      <c r="H522" s="27">
        <f t="shared" si="301"/>
        <v>3236600</v>
      </c>
      <c r="I522" s="27">
        <f t="shared" si="301"/>
        <v>3217815.58</v>
      </c>
      <c r="J522" s="207">
        <f t="shared" si="271"/>
        <v>99.419624915034305</v>
      </c>
      <c r="M522" s="295"/>
      <c r="N522" s="295"/>
      <c r="O522" s="295"/>
    </row>
    <row r="523" spans="1:15" ht="105" x14ac:dyDescent="0.25">
      <c r="A523" s="276">
        <v>512</v>
      </c>
      <c r="B523" s="280" t="s">
        <v>335</v>
      </c>
      <c r="C523" s="281">
        <v>951</v>
      </c>
      <c r="D523" s="281" t="s">
        <v>165</v>
      </c>
      <c r="E523" s="281" t="s">
        <v>200</v>
      </c>
      <c r="F523" s="276"/>
      <c r="G523" s="27">
        <f t="shared" ref="G523:I524" si="302">G524</f>
        <v>2326600</v>
      </c>
      <c r="H523" s="27">
        <f t="shared" si="301"/>
        <v>3236600</v>
      </c>
      <c r="I523" s="27">
        <f t="shared" si="301"/>
        <v>3217815.58</v>
      </c>
      <c r="J523" s="207">
        <f t="shared" si="271"/>
        <v>99.419624915034305</v>
      </c>
      <c r="M523" s="295"/>
      <c r="N523" s="295"/>
      <c r="O523" s="295"/>
    </row>
    <row r="524" spans="1:15" ht="30" x14ac:dyDescent="0.25">
      <c r="A524" s="276">
        <v>513</v>
      </c>
      <c r="B524" s="282" t="s">
        <v>48</v>
      </c>
      <c r="C524" s="281">
        <v>951</v>
      </c>
      <c r="D524" s="281" t="s">
        <v>165</v>
      </c>
      <c r="E524" s="281" t="s">
        <v>200</v>
      </c>
      <c r="F524" s="276">
        <v>600</v>
      </c>
      <c r="G524" s="27">
        <f t="shared" si="302"/>
        <v>2326600</v>
      </c>
      <c r="H524" s="27">
        <f t="shared" si="302"/>
        <v>3236600</v>
      </c>
      <c r="I524" s="27">
        <f t="shared" si="302"/>
        <v>3217815.58</v>
      </c>
      <c r="J524" s="207">
        <f t="shared" si="271"/>
        <v>99.419624915034305</v>
      </c>
      <c r="M524" s="295"/>
      <c r="N524" s="295"/>
      <c r="O524" s="295"/>
    </row>
    <row r="525" spans="1:15" x14ac:dyDescent="0.25">
      <c r="A525" s="276">
        <v>514</v>
      </c>
      <c r="B525" s="282" t="s">
        <v>66</v>
      </c>
      <c r="C525" s="281">
        <v>951</v>
      </c>
      <c r="D525" s="281" t="s">
        <v>165</v>
      </c>
      <c r="E525" s="281" t="s">
        <v>200</v>
      </c>
      <c r="F525" s="276">
        <v>610</v>
      </c>
      <c r="G525" s="27">
        <f>2895663.22-732563.22+36400+127100</f>
        <v>2326600</v>
      </c>
      <c r="H525" s="27">
        <v>3236600</v>
      </c>
      <c r="I525" s="146">
        <v>3217815.58</v>
      </c>
      <c r="J525" s="207">
        <f t="shared" ref="J525:J588" si="303">I525/H525*100</f>
        <v>99.419624915034305</v>
      </c>
      <c r="M525" s="148"/>
      <c r="N525" s="148"/>
      <c r="O525" s="295"/>
    </row>
    <row r="526" spans="1:15" x14ac:dyDescent="0.25">
      <c r="A526" s="276">
        <v>515</v>
      </c>
      <c r="B526" s="277" t="s">
        <v>135</v>
      </c>
      <c r="C526" s="281">
        <v>951</v>
      </c>
      <c r="D526" s="281" t="s">
        <v>165</v>
      </c>
      <c r="E526" s="281" t="s">
        <v>201</v>
      </c>
      <c r="F526" s="276"/>
      <c r="G526" s="27">
        <f>G527+G530+G540+G537</f>
        <v>40579088.139999993</v>
      </c>
      <c r="H526" s="27">
        <f t="shared" ref="H526:I526" si="304">H527+H530+H540+H537</f>
        <v>40579088.140000001</v>
      </c>
      <c r="I526" s="27">
        <f t="shared" si="304"/>
        <v>39976823.049999997</v>
      </c>
      <c r="J526" s="207">
        <f t="shared" si="303"/>
        <v>98.515823993081966</v>
      </c>
      <c r="M526" s="295"/>
      <c r="N526" s="295"/>
      <c r="O526" s="295"/>
    </row>
    <row r="527" spans="1:15" ht="45" x14ac:dyDescent="0.25">
      <c r="A527" s="276">
        <v>516</v>
      </c>
      <c r="B527" s="282" t="s">
        <v>339</v>
      </c>
      <c r="C527" s="281">
        <v>951</v>
      </c>
      <c r="D527" s="281" t="s">
        <v>165</v>
      </c>
      <c r="E527" s="281" t="s">
        <v>202</v>
      </c>
      <c r="F527" s="276"/>
      <c r="G527" s="27">
        <f t="shared" ref="G527:I528" si="305">G528</f>
        <v>32861071.529999997</v>
      </c>
      <c r="H527" s="27">
        <f t="shared" si="305"/>
        <v>32861071.530000001</v>
      </c>
      <c r="I527" s="27">
        <f t="shared" si="305"/>
        <v>32403060.949999999</v>
      </c>
      <c r="J527" s="207">
        <f t="shared" si="303"/>
        <v>98.606221408264588</v>
      </c>
      <c r="M527" s="295"/>
      <c r="N527" s="295"/>
      <c r="O527" s="295"/>
    </row>
    <row r="528" spans="1:15" ht="30" x14ac:dyDescent="0.25">
      <c r="A528" s="276">
        <v>517</v>
      </c>
      <c r="B528" s="282" t="s">
        <v>48</v>
      </c>
      <c r="C528" s="281">
        <v>951</v>
      </c>
      <c r="D528" s="281" t="s">
        <v>165</v>
      </c>
      <c r="E528" s="281" t="s">
        <v>202</v>
      </c>
      <c r="F528" s="276">
        <v>600</v>
      </c>
      <c r="G528" s="27">
        <f t="shared" si="305"/>
        <v>32861071.529999997</v>
      </c>
      <c r="H528" s="27">
        <f t="shared" si="305"/>
        <v>32861071.530000001</v>
      </c>
      <c r="I528" s="27">
        <f t="shared" si="305"/>
        <v>32403060.949999999</v>
      </c>
      <c r="J528" s="207">
        <f t="shared" si="303"/>
        <v>98.606221408264588</v>
      </c>
      <c r="M528" s="295"/>
      <c r="N528" s="295"/>
      <c r="O528" s="295"/>
    </row>
    <row r="529" spans="1:15" x14ac:dyDescent="0.25">
      <c r="A529" s="276">
        <v>518</v>
      </c>
      <c r="B529" s="282" t="s">
        <v>66</v>
      </c>
      <c r="C529" s="281">
        <v>951</v>
      </c>
      <c r="D529" s="281" t="s">
        <v>165</v>
      </c>
      <c r="E529" s="281" t="s">
        <v>202</v>
      </c>
      <c r="F529" s="276">
        <v>610</v>
      </c>
      <c r="G529" s="27">
        <f>27762178+291862.8+5390000+2182400-5695995+1247020-5728.27+900000+789334</f>
        <v>32861071.529999997</v>
      </c>
      <c r="H529" s="27">
        <v>32861071.530000001</v>
      </c>
      <c r="I529" s="146">
        <v>32403060.949999999</v>
      </c>
      <c r="J529" s="207">
        <f t="shared" si="303"/>
        <v>98.606221408264588</v>
      </c>
      <c r="M529" s="295"/>
      <c r="N529" s="295"/>
      <c r="O529" s="295"/>
    </row>
    <row r="530" spans="1:15" ht="30" x14ac:dyDescent="0.25">
      <c r="A530" s="276">
        <v>519</v>
      </c>
      <c r="B530" s="282" t="s">
        <v>442</v>
      </c>
      <c r="C530" s="281" t="s">
        <v>163</v>
      </c>
      <c r="D530" s="281" t="s">
        <v>165</v>
      </c>
      <c r="E530" s="281" t="s">
        <v>422</v>
      </c>
      <c r="F530" s="276"/>
      <c r="G530" s="27">
        <f t="shared" ref="G530:I530" si="306">G531+G535</f>
        <v>5682366.6699999999</v>
      </c>
      <c r="H530" s="27">
        <f t="shared" si="306"/>
        <v>5651868.6900000004</v>
      </c>
      <c r="I530" s="27">
        <f t="shared" si="306"/>
        <v>5507614.1799999997</v>
      </c>
      <c r="J530" s="207">
        <f t="shared" si="303"/>
        <v>97.447666994542288</v>
      </c>
      <c r="M530" s="295"/>
      <c r="N530" s="295"/>
      <c r="O530" s="295"/>
    </row>
    <row r="531" spans="1:15" ht="30" x14ac:dyDescent="0.25">
      <c r="A531" s="276">
        <v>520</v>
      </c>
      <c r="B531" s="282" t="s">
        <v>48</v>
      </c>
      <c r="C531" s="281" t="s">
        <v>163</v>
      </c>
      <c r="D531" s="281" t="s">
        <v>165</v>
      </c>
      <c r="E531" s="281" t="s">
        <v>422</v>
      </c>
      <c r="F531" s="276">
        <v>600</v>
      </c>
      <c r="G531" s="27">
        <f t="shared" ref="G531:I531" si="307">G532+G533+G534</f>
        <v>5661766.6699999999</v>
      </c>
      <c r="H531" s="27">
        <f t="shared" si="307"/>
        <v>5631268.6900000004</v>
      </c>
      <c r="I531" s="27">
        <f t="shared" si="307"/>
        <v>5507614.1799999997</v>
      </c>
      <c r="J531" s="207">
        <f t="shared" si="303"/>
        <v>97.804144735278115</v>
      </c>
      <c r="M531" s="295"/>
      <c r="N531" s="295"/>
      <c r="O531" s="295"/>
    </row>
    <row r="532" spans="1:15" x14ac:dyDescent="0.25">
      <c r="A532" s="276">
        <v>521</v>
      </c>
      <c r="B532" s="282" t="s">
        <v>66</v>
      </c>
      <c r="C532" s="281" t="s">
        <v>163</v>
      </c>
      <c r="D532" s="281" t="s">
        <v>165</v>
      </c>
      <c r="E532" s="281" t="s">
        <v>422</v>
      </c>
      <c r="F532" s="276">
        <v>610</v>
      </c>
      <c r="G532" s="27">
        <v>5620566.6699999999</v>
      </c>
      <c r="H532" s="27">
        <v>5590068.6900000004</v>
      </c>
      <c r="I532" s="146">
        <v>5507614.1799999997</v>
      </c>
      <c r="J532" s="207">
        <f t="shared" si="303"/>
        <v>98.524982167974031</v>
      </c>
      <c r="M532" s="295"/>
      <c r="N532" s="295"/>
      <c r="O532" s="295"/>
    </row>
    <row r="533" spans="1:15" x14ac:dyDescent="0.25">
      <c r="A533" s="276">
        <v>522</v>
      </c>
      <c r="B533" s="282" t="s">
        <v>423</v>
      </c>
      <c r="C533" s="281" t="s">
        <v>163</v>
      </c>
      <c r="D533" s="281" t="s">
        <v>165</v>
      </c>
      <c r="E533" s="281" t="s">
        <v>422</v>
      </c>
      <c r="F533" s="276">
        <v>620</v>
      </c>
      <c r="G533" s="27">
        <v>20600</v>
      </c>
      <c r="H533" s="27">
        <v>20600</v>
      </c>
      <c r="I533" s="146"/>
      <c r="J533" s="207">
        <f t="shared" si="303"/>
        <v>0</v>
      </c>
      <c r="M533" s="295"/>
      <c r="N533" s="295"/>
      <c r="O533" s="295"/>
    </row>
    <row r="534" spans="1:15" ht="30" x14ac:dyDescent="0.25">
      <c r="A534" s="276">
        <v>523</v>
      </c>
      <c r="B534" s="283" t="s">
        <v>443</v>
      </c>
      <c r="C534" s="281" t="s">
        <v>163</v>
      </c>
      <c r="D534" s="281" t="s">
        <v>165</v>
      </c>
      <c r="E534" s="281" t="s">
        <v>422</v>
      </c>
      <c r="F534" s="276">
        <v>630</v>
      </c>
      <c r="G534" s="27">
        <v>20600</v>
      </c>
      <c r="H534" s="27">
        <v>20600</v>
      </c>
      <c r="I534" s="146"/>
      <c r="J534" s="207">
        <f t="shared" si="303"/>
        <v>0</v>
      </c>
      <c r="M534" s="295"/>
      <c r="N534" s="295"/>
      <c r="O534" s="295"/>
    </row>
    <row r="535" spans="1:15" x14ac:dyDescent="0.25">
      <c r="A535" s="276">
        <v>524</v>
      </c>
      <c r="B535" s="282" t="s">
        <v>424</v>
      </c>
      <c r="C535" s="281" t="s">
        <v>163</v>
      </c>
      <c r="D535" s="281" t="s">
        <v>165</v>
      </c>
      <c r="E535" s="281" t="s">
        <v>422</v>
      </c>
      <c r="F535" s="276">
        <v>800</v>
      </c>
      <c r="G535" s="27">
        <f>G536</f>
        <v>20600</v>
      </c>
      <c r="H535" s="27">
        <f t="shared" ref="H535:I535" si="308">H536</f>
        <v>20600</v>
      </c>
      <c r="I535" s="27">
        <f t="shared" si="308"/>
        <v>0</v>
      </c>
      <c r="J535" s="207">
        <f t="shared" si="303"/>
        <v>0</v>
      </c>
      <c r="M535" s="295"/>
      <c r="N535" s="295"/>
      <c r="O535" s="295"/>
    </row>
    <row r="536" spans="1:15" ht="33" customHeight="1" x14ac:dyDescent="0.25">
      <c r="A536" s="276">
        <v>525</v>
      </c>
      <c r="B536" s="282" t="s">
        <v>425</v>
      </c>
      <c r="C536" s="281" t="s">
        <v>163</v>
      </c>
      <c r="D536" s="281" t="s">
        <v>165</v>
      </c>
      <c r="E536" s="281" t="s">
        <v>422</v>
      </c>
      <c r="F536" s="276">
        <v>810</v>
      </c>
      <c r="G536" s="27">
        <v>20600</v>
      </c>
      <c r="H536" s="27">
        <v>20600</v>
      </c>
      <c r="I536" s="146"/>
      <c r="J536" s="207">
        <f t="shared" si="303"/>
        <v>0</v>
      </c>
      <c r="M536" s="295"/>
      <c r="N536" s="295"/>
      <c r="O536" s="295"/>
    </row>
    <row r="537" spans="1:15" ht="54" customHeight="1" x14ac:dyDescent="0.25">
      <c r="A537" s="276">
        <v>526</v>
      </c>
      <c r="B537" s="282" t="s">
        <v>556</v>
      </c>
      <c r="C537" s="281" t="s">
        <v>163</v>
      </c>
      <c r="D537" s="281" t="s">
        <v>165</v>
      </c>
      <c r="E537" s="281" t="s">
        <v>545</v>
      </c>
      <c r="F537" s="276"/>
      <c r="G537" s="27">
        <f>G538</f>
        <v>100000</v>
      </c>
      <c r="H537" s="27">
        <f t="shared" ref="H537:I538" si="309">H538</f>
        <v>100000</v>
      </c>
      <c r="I537" s="27">
        <f t="shared" si="309"/>
        <v>100000</v>
      </c>
      <c r="J537" s="207">
        <f t="shared" si="303"/>
        <v>100</v>
      </c>
      <c r="M537" s="295"/>
      <c r="N537" s="295"/>
      <c r="O537" s="295"/>
    </row>
    <row r="538" spans="1:15" ht="33" customHeight="1" x14ac:dyDescent="0.25">
      <c r="A538" s="276">
        <v>527</v>
      </c>
      <c r="B538" s="282" t="s">
        <v>522</v>
      </c>
      <c r="C538" s="281" t="s">
        <v>163</v>
      </c>
      <c r="D538" s="281" t="s">
        <v>165</v>
      </c>
      <c r="E538" s="281" t="s">
        <v>545</v>
      </c>
      <c r="F538" s="276">
        <v>600</v>
      </c>
      <c r="G538" s="27">
        <f>G539</f>
        <v>100000</v>
      </c>
      <c r="H538" s="27">
        <f t="shared" si="309"/>
        <v>100000</v>
      </c>
      <c r="I538" s="27">
        <f t="shared" si="309"/>
        <v>100000</v>
      </c>
      <c r="J538" s="207">
        <f t="shared" si="303"/>
        <v>100</v>
      </c>
      <c r="M538" s="295"/>
      <c r="N538" s="295"/>
      <c r="O538" s="295"/>
    </row>
    <row r="539" spans="1:15" ht="33" customHeight="1" x14ac:dyDescent="0.25">
      <c r="A539" s="276">
        <v>528</v>
      </c>
      <c r="B539" s="282" t="s">
        <v>544</v>
      </c>
      <c r="C539" s="281" t="s">
        <v>163</v>
      </c>
      <c r="D539" s="281" t="s">
        <v>165</v>
      </c>
      <c r="E539" s="281" t="s">
        <v>545</v>
      </c>
      <c r="F539" s="276">
        <v>610</v>
      </c>
      <c r="G539" s="27">
        <v>100000</v>
      </c>
      <c r="H539" s="27">
        <v>100000</v>
      </c>
      <c r="I539" s="146">
        <v>100000</v>
      </c>
      <c r="J539" s="207">
        <f t="shared" si="303"/>
        <v>100</v>
      </c>
      <c r="M539" s="295"/>
      <c r="N539" s="295"/>
      <c r="O539" s="295"/>
    </row>
    <row r="540" spans="1:15" ht="68.25" customHeight="1" x14ac:dyDescent="0.25">
      <c r="A540" s="276">
        <v>529</v>
      </c>
      <c r="B540" s="282" t="s">
        <v>557</v>
      </c>
      <c r="C540" s="281" t="s">
        <v>163</v>
      </c>
      <c r="D540" s="281" t="s">
        <v>165</v>
      </c>
      <c r="E540" s="281" t="s">
        <v>534</v>
      </c>
      <c r="F540" s="276"/>
      <c r="G540" s="27">
        <f>G541</f>
        <v>1935649.94</v>
      </c>
      <c r="H540" s="27">
        <f t="shared" ref="H540:I541" si="310">H541</f>
        <v>1966147.92</v>
      </c>
      <c r="I540" s="27">
        <f t="shared" si="310"/>
        <v>1966147.92</v>
      </c>
      <c r="J540" s="207">
        <f t="shared" si="303"/>
        <v>100</v>
      </c>
      <c r="M540" s="295"/>
      <c r="N540" s="295"/>
      <c r="O540" s="295"/>
    </row>
    <row r="541" spans="1:15" ht="33" customHeight="1" x14ac:dyDescent="0.25">
      <c r="A541" s="276">
        <v>530</v>
      </c>
      <c r="B541" s="282" t="s">
        <v>522</v>
      </c>
      <c r="C541" s="281" t="s">
        <v>163</v>
      </c>
      <c r="D541" s="281" t="s">
        <v>165</v>
      </c>
      <c r="E541" s="281" t="s">
        <v>534</v>
      </c>
      <c r="F541" s="276">
        <v>600</v>
      </c>
      <c r="G541" s="27">
        <f>G542</f>
        <v>1935649.94</v>
      </c>
      <c r="H541" s="27">
        <f t="shared" si="310"/>
        <v>1966147.92</v>
      </c>
      <c r="I541" s="27">
        <f t="shared" si="310"/>
        <v>1966147.92</v>
      </c>
      <c r="J541" s="207">
        <f t="shared" si="303"/>
        <v>100</v>
      </c>
      <c r="M541" s="295"/>
      <c r="N541" s="295"/>
      <c r="O541" s="295"/>
    </row>
    <row r="542" spans="1:15" ht="33" customHeight="1" x14ac:dyDescent="0.25">
      <c r="A542" s="276">
        <v>531</v>
      </c>
      <c r="B542" s="282" t="s">
        <v>530</v>
      </c>
      <c r="C542" s="281" t="s">
        <v>163</v>
      </c>
      <c r="D542" s="281" t="s">
        <v>165</v>
      </c>
      <c r="E542" s="281" t="s">
        <v>534</v>
      </c>
      <c r="F542" s="276">
        <v>610</v>
      </c>
      <c r="G542" s="27">
        <f>1362833.33+572816.61</f>
        <v>1935649.94</v>
      </c>
      <c r="H542" s="27">
        <v>1966147.92</v>
      </c>
      <c r="I542" s="146">
        <v>1966147.92</v>
      </c>
      <c r="J542" s="207">
        <f t="shared" si="303"/>
        <v>100</v>
      </c>
      <c r="M542" s="295"/>
      <c r="N542" s="295"/>
      <c r="O542" s="295"/>
    </row>
    <row r="543" spans="1:15" x14ac:dyDescent="0.25">
      <c r="A543" s="276">
        <v>532</v>
      </c>
      <c r="B543" s="282" t="s">
        <v>52</v>
      </c>
      <c r="C543" s="281">
        <v>951</v>
      </c>
      <c r="D543" s="281" t="s">
        <v>118</v>
      </c>
      <c r="E543" s="281"/>
      <c r="F543" s="276"/>
      <c r="G543" s="27">
        <f t="shared" ref="G543:I545" si="311">G544</f>
        <v>28116555</v>
      </c>
      <c r="H543" s="27">
        <f t="shared" si="311"/>
        <v>28116555</v>
      </c>
      <c r="I543" s="27">
        <f t="shared" si="311"/>
        <v>27995755.370000001</v>
      </c>
      <c r="J543" s="207">
        <f t="shared" si="303"/>
        <v>99.57036119823357</v>
      </c>
      <c r="M543" s="295"/>
      <c r="N543" s="295"/>
      <c r="O543" s="295"/>
    </row>
    <row r="544" spans="1:15" ht="30" x14ac:dyDescent="0.25">
      <c r="A544" s="276">
        <v>533</v>
      </c>
      <c r="B544" s="277" t="s">
        <v>53</v>
      </c>
      <c r="C544" s="281">
        <v>951</v>
      </c>
      <c r="D544" s="281" t="s">
        <v>118</v>
      </c>
      <c r="E544" s="281" t="s">
        <v>182</v>
      </c>
      <c r="F544" s="276"/>
      <c r="G544" s="27">
        <f t="shared" si="311"/>
        <v>28116555</v>
      </c>
      <c r="H544" s="27">
        <f t="shared" si="311"/>
        <v>28116555</v>
      </c>
      <c r="I544" s="27">
        <f t="shared" si="311"/>
        <v>27995755.370000001</v>
      </c>
      <c r="J544" s="207">
        <f t="shared" si="303"/>
        <v>99.57036119823357</v>
      </c>
      <c r="M544" s="295"/>
      <c r="N544" s="295"/>
      <c r="O544" s="295"/>
    </row>
    <row r="545" spans="1:15" x14ac:dyDescent="0.25">
      <c r="A545" s="276">
        <v>534</v>
      </c>
      <c r="B545" s="277" t="s">
        <v>54</v>
      </c>
      <c r="C545" s="281">
        <v>951</v>
      </c>
      <c r="D545" s="281" t="s">
        <v>118</v>
      </c>
      <c r="E545" s="281" t="s">
        <v>183</v>
      </c>
      <c r="F545" s="276"/>
      <c r="G545" s="27">
        <f>G546</f>
        <v>28116555</v>
      </c>
      <c r="H545" s="27">
        <f t="shared" si="311"/>
        <v>28116555</v>
      </c>
      <c r="I545" s="27">
        <f t="shared" si="311"/>
        <v>27995755.370000001</v>
      </c>
      <c r="J545" s="207">
        <f t="shared" si="303"/>
        <v>99.57036119823357</v>
      </c>
      <c r="M545" s="295"/>
      <c r="N545" s="295"/>
      <c r="O545" s="295"/>
    </row>
    <row r="546" spans="1:15" ht="45" x14ac:dyDescent="0.25">
      <c r="A546" s="276">
        <v>535</v>
      </c>
      <c r="B546" s="277" t="s">
        <v>336</v>
      </c>
      <c r="C546" s="281">
        <v>951</v>
      </c>
      <c r="D546" s="281" t="s">
        <v>118</v>
      </c>
      <c r="E546" s="281" t="s">
        <v>203</v>
      </c>
      <c r="F546" s="276"/>
      <c r="G546" s="27">
        <f t="shared" ref="G546:H546" si="312">G547+G549+G551</f>
        <v>28116555</v>
      </c>
      <c r="H546" s="27">
        <f t="shared" si="312"/>
        <v>28116555</v>
      </c>
      <c r="I546" s="27">
        <f t="shared" ref="I546" si="313">I547+I549+I551</f>
        <v>27995755.370000001</v>
      </c>
      <c r="J546" s="207">
        <f t="shared" si="303"/>
        <v>99.57036119823357</v>
      </c>
      <c r="M546" s="295"/>
      <c r="N546" s="295"/>
      <c r="O546" s="295"/>
    </row>
    <row r="547" spans="1:15" ht="45" x14ac:dyDescent="0.25">
      <c r="A547" s="276">
        <v>536</v>
      </c>
      <c r="B547" s="282" t="s">
        <v>14</v>
      </c>
      <c r="C547" s="281">
        <v>951</v>
      </c>
      <c r="D547" s="281" t="s">
        <v>118</v>
      </c>
      <c r="E547" s="281" t="s">
        <v>203</v>
      </c>
      <c r="F547" s="276">
        <v>100</v>
      </c>
      <c r="G547" s="27">
        <f t="shared" ref="G547" si="314">G548</f>
        <v>24931685</v>
      </c>
      <c r="H547" s="27">
        <f t="shared" ref="H547:I547" si="315">H548</f>
        <v>24931685</v>
      </c>
      <c r="I547" s="27">
        <f t="shared" si="315"/>
        <v>24857829.91</v>
      </c>
      <c r="J547" s="207">
        <f t="shared" si="303"/>
        <v>99.703770162345634</v>
      </c>
      <c r="M547" s="295"/>
      <c r="N547" s="295"/>
      <c r="O547" s="295"/>
    </row>
    <row r="548" spans="1:15" x14ac:dyDescent="0.25">
      <c r="A548" s="276">
        <v>537</v>
      </c>
      <c r="B548" s="282" t="s">
        <v>62</v>
      </c>
      <c r="C548" s="281">
        <v>951</v>
      </c>
      <c r="D548" s="281" t="s">
        <v>118</v>
      </c>
      <c r="E548" s="281" t="s">
        <v>203</v>
      </c>
      <c r="F548" s="276">
        <v>110</v>
      </c>
      <c r="G548" s="27">
        <f>22172770+166370+1146626+1220299+28760+196860</f>
        <v>24931685</v>
      </c>
      <c r="H548" s="27">
        <v>24931685</v>
      </c>
      <c r="I548" s="146">
        <v>24857829.91</v>
      </c>
      <c r="J548" s="207">
        <f t="shared" si="303"/>
        <v>99.703770162345634</v>
      </c>
      <c r="M548" s="295"/>
      <c r="N548" s="295"/>
      <c r="O548" s="295"/>
    </row>
    <row r="549" spans="1:15" x14ac:dyDescent="0.25">
      <c r="A549" s="276">
        <v>538</v>
      </c>
      <c r="B549" s="282" t="s">
        <v>19</v>
      </c>
      <c r="C549" s="281">
        <v>951</v>
      </c>
      <c r="D549" s="281" t="s">
        <v>118</v>
      </c>
      <c r="E549" s="281" t="s">
        <v>203</v>
      </c>
      <c r="F549" s="276">
        <v>200</v>
      </c>
      <c r="G549" s="27">
        <f t="shared" ref="G549:I549" si="316">G550</f>
        <v>3097495.34</v>
      </c>
      <c r="H549" s="27">
        <f t="shared" si="316"/>
        <v>3097495.34</v>
      </c>
      <c r="I549" s="27">
        <f t="shared" si="316"/>
        <v>3056171.8</v>
      </c>
      <c r="J549" s="207">
        <f t="shared" si="303"/>
        <v>98.665904691885657</v>
      </c>
      <c r="M549" s="295"/>
      <c r="N549" s="295"/>
      <c r="O549" s="295"/>
    </row>
    <row r="550" spans="1:15" x14ac:dyDescent="0.25">
      <c r="A550" s="276">
        <v>539</v>
      </c>
      <c r="B550" s="282" t="s">
        <v>20</v>
      </c>
      <c r="C550" s="281">
        <v>951</v>
      </c>
      <c r="D550" s="281" t="s">
        <v>118</v>
      </c>
      <c r="E550" s="281" t="s">
        <v>203</v>
      </c>
      <c r="F550" s="276">
        <v>240</v>
      </c>
      <c r="G550" s="27">
        <f>3087790+75840-66134.66</f>
        <v>3097495.34</v>
      </c>
      <c r="H550" s="27">
        <v>3097495.34</v>
      </c>
      <c r="I550" s="146">
        <v>3056171.8</v>
      </c>
      <c r="J550" s="207">
        <f t="shared" si="303"/>
        <v>98.665904691885657</v>
      </c>
      <c r="M550" s="295"/>
      <c r="N550" s="295"/>
      <c r="O550" s="295"/>
    </row>
    <row r="551" spans="1:15" x14ac:dyDescent="0.25">
      <c r="A551" s="276">
        <v>540</v>
      </c>
      <c r="B551" s="282" t="s">
        <v>31</v>
      </c>
      <c r="C551" s="281">
        <v>951</v>
      </c>
      <c r="D551" s="281" t="s">
        <v>118</v>
      </c>
      <c r="E551" s="281" t="s">
        <v>203</v>
      </c>
      <c r="F551" s="276">
        <v>800</v>
      </c>
      <c r="G551" s="27">
        <f>G552</f>
        <v>87374.66</v>
      </c>
      <c r="H551" s="27">
        <f>H552</f>
        <v>87374.66</v>
      </c>
      <c r="I551" s="27">
        <f>I552</f>
        <v>81753.66</v>
      </c>
      <c r="J551" s="207">
        <f t="shared" si="303"/>
        <v>93.566784694784516</v>
      </c>
      <c r="M551" s="295"/>
      <c r="N551" s="295"/>
      <c r="O551" s="295"/>
    </row>
    <row r="552" spans="1:15" x14ac:dyDescent="0.25">
      <c r="A552" s="276">
        <v>541</v>
      </c>
      <c r="B552" s="282" t="s">
        <v>79</v>
      </c>
      <c r="C552" s="281">
        <v>951</v>
      </c>
      <c r="D552" s="281" t="s">
        <v>118</v>
      </c>
      <c r="E552" s="281" t="s">
        <v>203</v>
      </c>
      <c r="F552" s="276">
        <v>850</v>
      </c>
      <c r="G552" s="27">
        <f>45000+42374.66</f>
        <v>87374.66</v>
      </c>
      <c r="H552" s="27">
        <v>87374.66</v>
      </c>
      <c r="I552" s="146">
        <v>81753.66</v>
      </c>
      <c r="J552" s="207">
        <f t="shared" si="303"/>
        <v>93.566784694784516</v>
      </c>
      <c r="M552" s="295"/>
      <c r="N552" s="295"/>
      <c r="O552" s="295"/>
    </row>
    <row r="553" spans="1:15" x14ac:dyDescent="0.25">
      <c r="A553" s="276">
        <v>542</v>
      </c>
      <c r="B553" s="298" t="s">
        <v>123</v>
      </c>
      <c r="C553" s="300" t="s">
        <v>163</v>
      </c>
      <c r="D553" s="300" t="s">
        <v>124</v>
      </c>
      <c r="E553" s="300"/>
      <c r="F553" s="276"/>
      <c r="G553" s="27">
        <f>G554+G571</f>
        <v>21963095.200000003</v>
      </c>
      <c r="H553" s="27">
        <f t="shared" ref="H553:I553" si="317">H554+H571</f>
        <v>16783995.199999999</v>
      </c>
      <c r="I553" s="27">
        <f t="shared" si="317"/>
        <v>10981025.73</v>
      </c>
      <c r="J553" s="207">
        <f t="shared" si="303"/>
        <v>65.425577159364295</v>
      </c>
      <c r="M553" s="295"/>
      <c r="N553" s="295"/>
      <c r="O553" s="295"/>
    </row>
    <row r="554" spans="1:15" x14ac:dyDescent="0.25">
      <c r="A554" s="276">
        <v>543</v>
      </c>
      <c r="B554" s="277" t="s">
        <v>77</v>
      </c>
      <c r="C554" s="300" t="s">
        <v>163</v>
      </c>
      <c r="D554" s="300" t="s">
        <v>126</v>
      </c>
      <c r="E554" s="300"/>
      <c r="F554" s="276"/>
      <c r="G554" s="27">
        <f>G555</f>
        <v>19383995.200000003</v>
      </c>
      <c r="H554" s="27">
        <f t="shared" ref="H554:I554" si="318">H555</f>
        <v>16283995.199999999</v>
      </c>
      <c r="I554" s="27">
        <f t="shared" si="318"/>
        <v>10500084.860000001</v>
      </c>
      <c r="J554" s="207">
        <f t="shared" si="303"/>
        <v>64.481011760553713</v>
      </c>
      <c r="M554" s="295"/>
      <c r="N554" s="295"/>
      <c r="O554" s="295"/>
    </row>
    <row r="555" spans="1:15" ht="30" x14ac:dyDescent="0.25">
      <c r="A555" s="276">
        <v>544</v>
      </c>
      <c r="B555" s="277" t="s">
        <v>53</v>
      </c>
      <c r="C555" s="300" t="s">
        <v>163</v>
      </c>
      <c r="D555" s="300" t="s">
        <v>126</v>
      </c>
      <c r="E555" s="300" t="s">
        <v>182</v>
      </c>
      <c r="F555" s="276"/>
      <c r="G555" s="27">
        <f t="shared" ref="G555:I555" si="319">G556</f>
        <v>19383995.200000003</v>
      </c>
      <c r="H555" s="27">
        <f t="shared" si="319"/>
        <v>16283995.199999999</v>
      </c>
      <c r="I555" s="27">
        <f t="shared" si="319"/>
        <v>10500084.860000001</v>
      </c>
      <c r="J555" s="207">
        <f t="shared" si="303"/>
        <v>64.481011760553713</v>
      </c>
      <c r="M555" s="295"/>
      <c r="N555" s="295"/>
      <c r="O555" s="295"/>
    </row>
    <row r="556" spans="1:15" x14ac:dyDescent="0.25">
      <c r="A556" s="276">
        <v>545</v>
      </c>
      <c r="B556" s="277" t="s">
        <v>134</v>
      </c>
      <c r="C556" s="300">
        <v>951</v>
      </c>
      <c r="D556" s="300" t="s">
        <v>126</v>
      </c>
      <c r="E556" s="300" t="s">
        <v>197</v>
      </c>
      <c r="F556" s="276"/>
      <c r="G556" s="27">
        <f>G557+G560+G566+G563</f>
        <v>19383995.200000003</v>
      </c>
      <c r="H556" s="27">
        <f t="shared" ref="H556:I556" si="320">H557+H560+H566+H563</f>
        <v>16283995.199999999</v>
      </c>
      <c r="I556" s="27">
        <f t="shared" si="320"/>
        <v>10500084.860000001</v>
      </c>
      <c r="J556" s="207">
        <f t="shared" si="303"/>
        <v>64.481011760553713</v>
      </c>
      <c r="M556" s="295"/>
      <c r="N556" s="295"/>
      <c r="O556" s="295"/>
    </row>
    <row r="557" spans="1:15" ht="90" x14ac:dyDescent="0.25">
      <c r="A557" s="276">
        <v>546</v>
      </c>
      <c r="B557" s="279" t="s">
        <v>338</v>
      </c>
      <c r="C557" s="300">
        <v>951</v>
      </c>
      <c r="D557" s="300" t="s">
        <v>126</v>
      </c>
      <c r="E557" s="300" t="s">
        <v>205</v>
      </c>
      <c r="F557" s="276"/>
      <c r="G557" s="27">
        <f>G558</f>
        <v>7700400</v>
      </c>
      <c r="H557" s="27">
        <f t="shared" ref="H557:I557" si="321">H558</f>
        <v>7700400</v>
      </c>
      <c r="I557" s="27">
        <f t="shared" si="321"/>
        <v>2801407.2</v>
      </c>
      <c r="J557" s="207">
        <f t="shared" si="303"/>
        <v>36.380021817048473</v>
      </c>
      <c r="M557" s="295"/>
      <c r="N557" s="295"/>
      <c r="O557" s="295"/>
    </row>
    <row r="558" spans="1:15" ht="30" x14ac:dyDescent="0.25">
      <c r="A558" s="276">
        <v>547</v>
      </c>
      <c r="B558" s="282" t="s">
        <v>48</v>
      </c>
      <c r="C558" s="300">
        <v>951</v>
      </c>
      <c r="D558" s="300" t="s">
        <v>126</v>
      </c>
      <c r="E558" s="300" t="s">
        <v>205</v>
      </c>
      <c r="F558" s="276">
        <v>600</v>
      </c>
      <c r="G558" s="27">
        <f t="shared" ref="G558:I558" si="322">G559</f>
        <v>7700400</v>
      </c>
      <c r="H558" s="27">
        <f t="shared" si="322"/>
        <v>7700400</v>
      </c>
      <c r="I558" s="27">
        <f t="shared" si="322"/>
        <v>2801407.2</v>
      </c>
      <c r="J558" s="207">
        <f t="shared" si="303"/>
        <v>36.380021817048473</v>
      </c>
      <c r="M558" s="295"/>
      <c r="N558" s="295"/>
      <c r="O558" s="295"/>
    </row>
    <row r="559" spans="1:15" x14ac:dyDescent="0.25">
      <c r="A559" s="276">
        <v>548</v>
      </c>
      <c r="B559" s="282" t="s">
        <v>66</v>
      </c>
      <c r="C559" s="300">
        <v>951</v>
      </c>
      <c r="D559" s="300" t="s">
        <v>126</v>
      </c>
      <c r="E559" s="300" t="s">
        <v>205</v>
      </c>
      <c r="F559" s="276">
        <v>610</v>
      </c>
      <c r="G559" s="27">
        <f>8868000-1397600+230000</f>
        <v>7700400</v>
      </c>
      <c r="H559" s="27">
        <f>8868000-1397600+230000</f>
        <v>7700400</v>
      </c>
      <c r="I559" s="146">
        <v>2801407.2</v>
      </c>
      <c r="J559" s="207">
        <f t="shared" si="303"/>
        <v>36.380021817048473</v>
      </c>
      <c r="M559" s="295"/>
      <c r="N559" s="295"/>
      <c r="O559" s="295"/>
    </row>
    <row r="560" spans="1:15" ht="90" x14ac:dyDescent="0.25">
      <c r="A560" s="276">
        <v>549</v>
      </c>
      <c r="B560" s="282" t="s">
        <v>412</v>
      </c>
      <c r="C560" s="281" t="s">
        <v>163</v>
      </c>
      <c r="D560" s="300" t="s">
        <v>126</v>
      </c>
      <c r="E560" s="281" t="s">
        <v>413</v>
      </c>
      <c r="F560" s="276"/>
      <c r="G560" s="27">
        <f t="shared" ref="G560:I560" si="323">G561</f>
        <v>10397548.85</v>
      </c>
      <c r="H560" s="27">
        <f t="shared" si="323"/>
        <v>7297548.8499999996</v>
      </c>
      <c r="I560" s="27">
        <f t="shared" si="323"/>
        <v>7045121.6900000004</v>
      </c>
      <c r="J560" s="207">
        <f t="shared" si="303"/>
        <v>96.540932233704751</v>
      </c>
      <c r="M560" s="295"/>
      <c r="N560" s="295"/>
      <c r="O560" s="295"/>
    </row>
    <row r="561" spans="1:15" ht="30" x14ac:dyDescent="0.25">
      <c r="A561" s="276">
        <v>550</v>
      </c>
      <c r="B561" s="282" t="s">
        <v>48</v>
      </c>
      <c r="C561" s="281" t="s">
        <v>163</v>
      </c>
      <c r="D561" s="300" t="s">
        <v>126</v>
      </c>
      <c r="E561" s="281" t="s">
        <v>413</v>
      </c>
      <c r="F561" s="276">
        <v>600</v>
      </c>
      <c r="G561" s="27">
        <f>G562</f>
        <v>10397548.85</v>
      </c>
      <c r="H561" s="27">
        <f>H562</f>
        <v>7297548.8499999996</v>
      </c>
      <c r="I561" s="27">
        <f>I562</f>
        <v>7045121.6900000004</v>
      </c>
      <c r="J561" s="207">
        <f t="shared" si="303"/>
        <v>96.540932233704751</v>
      </c>
      <c r="M561" s="295"/>
      <c r="N561" s="295"/>
      <c r="O561" s="295"/>
    </row>
    <row r="562" spans="1:15" x14ac:dyDescent="0.25">
      <c r="A562" s="276">
        <v>551</v>
      </c>
      <c r="B562" s="282" t="s">
        <v>66</v>
      </c>
      <c r="C562" s="281" t="s">
        <v>163</v>
      </c>
      <c r="D562" s="300" t="s">
        <v>126</v>
      </c>
      <c r="E562" s="281" t="s">
        <v>413</v>
      </c>
      <c r="F562" s="276">
        <v>610</v>
      </c>
      <c r="G562" s="27">
        <f>10642200+10642.2-255000-244.6-48748.75+48700</f>
        <v>10397548.85</v>
      </c>
      <c r="H562" s="27">
        <v>7297548.8499999996</v>
      </c>
      <c r="I562" s="146">
        <v>7045121.6900000004</v>
      </c>
      <c r="J562" s="207">
        <f t="shared" si="303"/>
        <v>96.540932233704751</v>
      </c>
      <c r="M562" s="148"/>
      <c r="N562" s="148"/>
      <c r="O562" s="295"/>
    </row>
    <row r="563" spans="1:15" ht="99" customHeight="1" x14ac:dyDescent="0.25">
      <c r="A563" s="276">
        <v>552</v>
      </c>
      <c r="B563" s="282" t="s">
        <v>558</v>
      </c>
      <c r="C563" s="281" t="s">
        <v>163</v>
      </c>
      <c r="D563" s="300" t="s">
        <v>126</v>
      </c>
      <c r="E563" s="281"/>
      <c r="F563" s="276"/>
      <c r="G563" s="27">
        <f>G564</f>
        <v>48.75</v>
      </c>
      <c r="H563" s="27">
        <f t="shared" ref="H563:I564" si="324">H564</f>
        <v>48.75</v>
      </c>
      <c r="I563" s="27">
        <f t="shared" si="324"/>
        <v>0</v>
      </c>
      <c r="J563" s="207">
        <f t="shared" si="303"/>
        <v>0</v>
      </c>
      <c r="M563" s="148"/>
      <c r="N563" s="148"/>
      <c r="O563" s="295"/>
    </row>
    <row r="564" spans="1:15" ht="30" x14ac:dyDescent="0.25">
      <c r="A564" s="276">
        <v>553</v>
      </c>
      <c r="B564" s="282" t="s">
        <v>522</v>
      </c>
      <c r="C564" s="281" t="s">
        <v>163</v>
      </c>
      <c r="D564" s="300" t="s">
        <v>126</v>
      </c>
      <c r="E564" s="281" t="s">
        <v>533</v>
      </c>
      <c r="F564" s="276">
        <v>600</v>
      </c>
      <c r="G564" s="27">
        <f>G565</f>
        <v>48.75</v>
      </c>
      <c r="H564" s="27">
        <f t="shared" si="324"/>
        <v>48.75</v>
      </c>
      <c r="I564" s="27">
        <f t="shared" si="324"/>
        <v>0</v>
      </c>
      <c r="J564" s="207">
        <f t="shared" si="303"/>
        <v>0</v>
      </c>
      <c r="M564" s="148"/>
      <c r="N564" s="148"/>
      <c r="O564" s="295"/>
    </row>
    <row r="565" spans="1:15" x14ac:dyDescent="0.25">
      <c r="A565" s="276">
        <v>554</v>
      </c>
      <c r="B565" s="282" t="s">
        <v>530</v>
      </c>
      <c r="C565" s="281" t="s">
        <v>163</v>
      </c>
      <c r="D565" s="300" t="s">
        <v>126</v>
      </c>
      <c r="E565" s="281" t="s">
        <v>533</v>
      </c>
      <c r="F565" s="276">
        <v>610</v>
      </c>
      <c r="G565" s="27">
        <f>48748.75-48700</f>
        <v>48.75</v>
      </c>
      <c r="H565" s="27">
        <v>48.75</v>
      </c>
      <c r="I565" s="146">
        <f>87200-87200</f>
        <v>0</v>
      </c>
      <c r="J565" s="207">
        <f t="shared" si="303"/>
        <v>0</v>
      </c>
      <c r="M565" s="148"/>
      <c r="N565" s="148"/>
      <c r="O565" s="295"/>
    </row>
    <row r="566" spans="1:15" ht="60.75" customHeight="1" x14ac:dyDescent="0.25">
      <c r="A566" s="276">
        <v>555</v>
      </c>
      <c r="B566" s="282" t="s">
        <v>506</v>
      </c>
      <c r="C566" s="281" t="s">
        <v>163</v>
      </c>
      <c r="D566" s="300" t="s">
        <v>126</v>
      </c>
      <c r="E566" s="281" t="s">
        <v>507</v>
      </c>
      <c r="F566" s="276"/>
      <c r="G566" s="27">
        <f>G567+G569</f>
        <v>1285997.6000000001</v>
      </c>
      <c r="H566" s="27">
        <f t="shared" ref="H566:I566" si="325">H567+H569</f>
        <v>1285997.6000000001</v>
      </c>
      <c r="I566" s="27">
        <f t="shared" si="325"/>
        <v>653555.97</v>
      </c>
      <c r="J566" s="207">
        <f t="shared" si="303"/>
        <v>50.820932325223623</v>
      </c>
      <c r="M566" s="148"/>
      <c r="N566" s="148"/>
      <c r="O566" s="295"/>
    </row>
    <row r="567" spans="1:15" x14ac:dyDescent="0.25">
      <c r="A567" s="276">
        <v>556</v>
      </c>
      <c r="B567" s="282" t="s">
        <v>532</v>
      </c>
      <c r="C567" s="281" t="s">
        <v>163</v>
      </c>
      <c r="D567" s="300" t="s">
        <v>126</v>
      </c>
      <c r="E567" s="281" t="s">
        <v>507</v>
      </c>
      <c r="F567" s="276">
        <v>300</v>
      </c>
      <c r="G567" s="27">
        <f>G568</f>
        <v>190000</v>
      </c>
      <c r="H567" s="27">
        <f t="shared" ref="H567:I567" si="326">H568</f>
        <v>190000</v>
      </c>
      <c r="I567" s="27">
        <f t="shared" si="326"/>
        <v>76853.87</v>
      </c>
      <c r="J567" s="207">
        <f t="shared" si="303"/>
        <v>40.449405263157892</v>
      </c>
      <c r="M567" s="148"/>
      <c r="N567" s="148"/>
      <c r="O567" s="295"/>
    </row>
    <row r="568" spans="1:15" x14ac:dyDescent="0.25">
      <c r="A568" s="276">
        <v>557</v>
      </c>
      <c r="B568" s="282" t="s">
        <v>80</v>
      </c>
      <c r="C568" s="281" t="s">
        <v>163</v>
      </c>
      <c r="D568" s="300" t="s">
        <v>126</v>
      </c>
      <c r="E568" s="281" t="s">
        <v>507</v>
      </c>
      <c r="F568" s="276">
        <v>320</v>
      </c>
      <c r="G568" s="27">
        <v>190000</v>
      </c>
      <c r="H568" s="27">
        <v>190000</v>
      </c>
      <c r="I568" s="146">
        <v>76853.87</v>
      </c>
      <c r="J568" s="207">
        <f t="shared" si="303"/>
        <v>40.449405263157892</v>
      </c>
      <c r="M568" s="148"/>
      <c r="N568" s="148"/>
      <c r="O568" s="295"/>
    </row>
    <row r="569" spans="1:15" ht="30" x14ac:dyDescent="0.25">
      <c r="A569" s="276">
        <v>558</v>
      </c>
      <c r="B569" s="282" t="s">
        <v>48</v>
      </c>
      <c r="C569" s="281" t="s">
        <v>163</v>
      </c>
      <c r="D569" s="300" t="s">
        <v>126</v>
      </c>
      <c r="E569" s="281" t="s">
        <v>507</v>
      </c>
      <c r="F569" s="276">
        <v>600</v>
      </c>
      <c r="G569" s="27">
        <f>G570</f>
        <v>1095997.6000000001</v>
      </c>
      <c r="H569" s="27">
        <f>H570</f>
        <v>1095997.6000000001</v>
      </c>
      <c r="I569" s="146">
        <f>I570</f>
        <v>576702.1</v>
      </c>
      <c r="J569" s="207">
        <f t="shared" si="303"/>
        <v>52.618919968437879</v>
      </c>
      <c r="M569" s="148"/>
      <c r="N569" s="148"/>
      <c r="O569" s="295"/>
    </row>
    <row r="570" spans="1:15" x14ac:dyDescent="0.25">
      <c r="A570" s="276">
        <v>559</v>
      </c>
      <c r="B570" s="282" t="s">
        <v>66</v>
      </c>
      <c r="C570" s="281" t="s">
        <v>163</v>
      </c>
      <c r="D570" s="300" t="s">
        <v>126</v>
      </c>
      <c r="E570" s="281" t="s">
        <v>507</v>
      </c>
      <c r="F570" s="276">
        <v>610</v>
      </c>
      <c r="G570" s="27">
        <f>1397600+1397.6-190000-113000</f>
        <v>1095997.6000000001</v>
      </c>
      <c r="H570" s="27">
        <v>1095997.6000000001</v>
      </c>
      <c r="I570" s="146">
        <v>576702.1</v>
      </c>
      <c r="J570" s="207">
        <f t="shared" si="303"/>
        <v>52.618919968437879</v>
      </c>
      <c r="M570" s="148"/>
      <c r="N570" s="148"/>
      <c r="O570" s="295"/>
    </row>
    <row r="571" spans="1:15" x14ac:dyDescent="0.25">
      <c r="A571" s="276">
        <v>560</v>
      </c>
      <c r="B571" s="283" t="s">
        <v>57</v>
      </c>
      <c r="C571" s="300" t="s">
        <v>163</v>
      </c>
      <c r="D571" s="300" t="s">
        <v>164</v>
      </c>
      <c r="E571" s="300"/>
      <c r="F571" s="276"/>
      <c r="G571" s="27">
        <f t="shared" ref="G571:I571" si="327">G572</f>
        <v>2579100</v>
      </c>
      <c r="H571" s="27">
        <f t="shared" si="327"/>
        <v>500000</v>
      </c>
      <c r="I571" s="27">
        <f t="shared" si="327"/>
        <v>480940.87</v>
      </c>
      <c r="J571" s="207">
        <f t="shared" si="303"/>
        <v>96.188174000000004</v>
      </c>
      <c r="M571" s="295"/>
      <c r="N571" s="295"/>
      <c r="O571" s="295"/>
    </row>
    <row r="572" spans="1:15" ht="30" x14ac:dyDescent="0.25">
      <c r="A572" s="276">
        <v>561</v>
      </c>
      <c r="B572" s="277" t="s">
        <v>53</v>
      </c>
      <c r="C572" s="300" t="s">
        <v>163</v>
      </c>
      <c r="D572" s="300" t="s">
        <v>164</v>
      </c>
      <c r="E572" s="300" t="s">
        <v>182</v>
      </c>
      <c r="F572" s="276"/>
      <c r="G572" s="27">
        <f t="shared" ref="G572:I572" si="328">G573</f>
        <v>2579100</v>
      </c>
      <c r="H572" s="27">
        <f t="shared" si="328"/>
        <v>500000</v>
      </c>
      <c r="I572" s="27">
        <f t="shared" si="328"/>
        <v>480940.87</v>
      </c>
      <c r="J572" s="207">
        <f t="shared" si="303"/>
        <v>96.188174000000004</v>
      </c>
      <c r="M572" s="295"/>
      <c r="N572" s="295"/>
      <c r="O572" s="295"/>
    </row>
    <row r="573" spans="1:15" x14ac:dyDescent="0.25">
      <c r="A573" s="276">
        <v>562</v>
      </c>
      <c r="B573" s="277" t="s">
        <v>54</v>
      </c>
      <c r="C573" s="300" t="s">
        <v>163</v>
      </c>
      <c r="D573" s="300" t="s">
        <v>164</v>
      </c>
      <c r="E573" s="300" t="s">
        <v>183</v>
      </c>
      <c r="F573" s="276"/>
      <c r="G573" s="27">
        <f t="shared" ref="G573:I573" si="329">G574</f>
        <v>2579100</v>
      </c>
      <c r="H573" s="27">
        <f t="shared" si="329"/>
        <v>500000</v>
      </c>
      <c r="I573" s="27">
        <f t="shared" si="329"/>
        <v>480940.87</v>
      </c>
      <c r="J573" s="207">
        <f t="shared" si="303"/>
        <v>96.188174000000004</v>
      </c>
      <c r="M573" s="295"/>
      <c r="N573" s="295"/>
      <c r="O573" s="295"/>
    </row>
    <row r="574" spans="1:15" ht="75" x14ac:dyDescent="0.25">
      <c r="A574" s="276">
        <v>563</v>
      </c>
      <c r="B574" s="280" t="s">
        <v>337</v>
      </c>
      <c r="C574" s="281">
        <v>951</v>
      </c>
      <c r="D574" s="281" t="s">
        <v>164</v>
      </c>
      <c r="E574" s="281" t="s">
        <v>204</v>
      </c>
      <c r="F574" s="276"/>
      <c r="G574" s="27">
        <f>G575+G577</f>
        <v>2579100</v>
      </c>
      <c r="H574" s="27">
        <f>H575+H577</f>
        <v>500000</v>
      </c>
      <c r="I574" s="27">
        <f>I575+I577</f>
        <v>480940.87</v>
      </c>
      <c r="J574" s="207">
        <f t="shared" si="303"/>
        <v>96.188174000000004</v>
      </c>
      <c r="M574" s="295"/>
      <c r="N574" s="295"/>
      <c r="O574" s="295"/>
    </row>
    <row r="575" spans="1:15" x14ac:dyDescent="0.25">
      <c r="A575" s="276">
        <v>564</v>
      </c>
      <c r="B575" s="282" t="s">
        <v>76</v>
      </c>
      <c r="C575" s="281">
        <v>951</v>
      </c>
      <c r="D575" s="281" t="s">
        <v>164</v>
      </c>
      <c r="E575" s="281" t="s">
        <v>204</v>
      </c>
      <c r="F575" s="276">
        <v>300</v>
      </c>
      <c r="G575" s="27">
        <f t="shared" ref="G575:I575" si="330">G576</f>
        <v>2559100</v>
      </c>
      <c r="H575" s="27">
        <f t="shared" si="330"/>
        <v>500000</v>
      </c>
      <c r="I575" s="27">
        <f t="shared" si="330"/>
        <v>480940.87</v>
      </c>
      <c r="J575" s="207">
        <f t="shared" si="303"/>
        <v>96.188174000000004</v>
      </c>
      <c r="M575" s="295"/>
      <c r="N575" s="295"/>
      <c r="O575" s="295"/>
    </row>
    <row r="576" spans="1:15" x14ac:dyDescent="0.25">
      <c r="A576" s="276">
        <v>565</v>
      </c>
      <c r="B576" s="282" t="s">
        <v>80</v>
      </c>
      <c r="C576" s="281">
        <v>951</v>
      </c>
      <c r="D576" s="281" t="s">
        <v>164</v>
      </c>
      <c r="E576" s="281" t="s">
        <v>204</v>
      </c>
      <c r="F576" s="276">
        <v>320</v>
      </c>
      <c r="G576" s="27">
        <v>2559100</v>
      </c>
      <c r="H576" s="27">
        <v>500000</v>
      </c>
      <c r="I576" s="146">
        <v>480940.87</v>
      </c>
      <c r="J576" s="207">
        <f t="shared" si="303"/>
        <v>96.188174000000004</v>
      </c>
      <c r="M576" s="295"/>
      <c r="N576" s="295"/>
      <c r="O576" s="295"/>
    </row>
    <row r="577" spans="1:15" x14ac:dyDescent="0.25">
      <c r="A577" s="276">
        <v>566</v>
      </c>
      <c r="B577" s="282" t="s">
        <v>19</v>
      </c>
      <c r="C577" s="281">
        <v>951</v>
      </c>
      <c r="D577" s="281" t="s">
        <v>164</v>
      </c>
      <c r="E577" s="281" t="s">
        <v>204</v>
      </c>
      <c r="F577" s="276">
        <v>200</v>
      </c>
      <c r="G577" s="27">
        <f t="shared" ref="G577:I577" si="331">G578</f>
        <v>20000</v>
      </c>
      <c r="H577" s="27">
        <f t="shared" si="331"/>
        <v>0</v>
      </c>
      <c r="I577" s="27">
        <f t="shared" si="331"/>
        <v>0</v>
      </c>
      <c r="J577" s="207" t="e">
        <f t="shared" si="303"/>
        <v>#DIV/0!</v>
      </c>
      <c r="M577" s="295"/>
      <c r="N577" s="295"/>
      <c r="O577" s="295"/>
    </row>
    <row r="578" spans="1:15" x14ac:dyDescent="0.25">
      <c r="A578" s="276">
        <v>567</v>
      </c>
      <c r="B578" s="282" t="s">
        <v>20</v>
      </c>
      <c r="C578" s="281">
        <v>951</v>
      </c>
      <c r="D578" s="281" t="s">
        <v>164</v>
      </c>
      <c r="E578" s="281" t="s">
        <v>204</v>
      </c>
      <c r="F578" s="276">
        <v>240</v>
      </c>
      <c r="G578" s="27">
        <v>20000</v>
      </c>
      <c r="H578" s="27"/>
      <c r="I578" s="146"/>
      <c r="J578" s="207" t="e">
        <f t="shared" si="303"/>
        <v>#DIV/0!</v>
      </c>
      <c r="M578" s="295"/>
      <c r="N578" s="295"/>
      <c r="O578" s="295"/>
    </row>
    <row r="579" spans="1:15" ht="33.75" customHeight="1" x14ac:dyDescent="0.25">
      <c r="A579" s="276">
        <v>568</v>
      </c>
      <c r="B579" s="308" t="s">
        <v>234</v>
      </c>
      <c r="C579" s="42">
        <v>952</v>
      </c>
      <c r="D579" s="42" t="s">
        <v>113</v>
      </c>
      <c r="E579" s="42"/>
      <c r="F579" s="41"/>
      <c r="G579" s="44">
        <f>G580+G610+G660</f>
        <v>160431022.34999999</v>
      </c>
      <c r="H579" s="44">
        <f>H580+H610+H660</f>
        <v>160431022.35000002</v>
      </c>
      <c r="I579" s="44">
        <f>I580+I610+I660</f>
        <v>155704188.10999998</v>
      </c>
      <c r="J579" s="207">
        <f t="shared" si="303"/>
        <v>97.053665699587782</v>
      </c>
      <c r="M579" s="295"/>
      <c r="N579" s="295"/>
      <c r="O579" s="295"/>
    </row>
    <row r="580" spans="1:15" x14ac:dyDescent="0.25">
      <c r="A580" s="276">
        <v>569</v>
      </c>
      <c r="B580" s="298" t="s">
        <v>112</v>
      </c>
      <c r="C580" s="281">
        <v>952</v>
      </c>
      <c r="D580" s="281" t="s">
        <v>113</v>
      </c>
      <c r="E580" s="281"/>
      <c r="F580" s="276"/>
      <c r="G580" s="27">
        <f>G581+G590</f>
        <v>59972463.819999993</v>
      </c>
      <c r="H580" s="27">
        <f>H581+H590</f>
        <v>59972463.819999993</v>
      </c>
      <c r="I580" s="27">
        <f>I581+I590</f>
        <v>56862728.43</v>
      </c>
      <c r="J580" s="207">
        <f t="shared" si="303"/>
        <v>94.814727973602203</v>
      </c>
      <c r="M580" s="295"/>
      <c r="N580" s="295"/>
      <c r="O580" s="295"/>
    </row>
    <row r="581" spans="1:15" x14ac:dyDescent="0.25">
      <c r="A581" s="276">
        <v>570</v>
      </c>
      <c r="B581" s="277" t="s">
        <v>156</v>
      </c>
      <c r="C581" s="281">
        <v>952</v>
      </c>
      <c r="D581" s="281" t="s">
        <v>165</v>
      </c>
      <c r="E581" s="281"/>
      <c r="F581" s="276"/>
      <c r="G581" s="27">
        <f t="shared" ref="G581:I584" si="332">G582</f>
        <v>48515763.619999997</v>
      </c>
      <c r="H581" s="27">
        <f t="shared" si="332"/>
        <v>48515763.619999997</v>
      </c>
      <c r="I581" s="27">
        <f t="shared" si="332"/>
        <v>46588304.530000001</v>
      </c>
      <c r="J581" s="207">
        <f t="shared" si="303"/>
        <v>96.027148814771152</v>
      </c>
      <c r="M581" s="295"/>
      <c r="N581" s="295"/>
      <c r="O581" s="295"/>
    </row>
    <row r="582" spans="1:15" x14ac:dyDescent="0.25">
      <c r="A582" s="276">
        <v>571</v>
      </c>
      <c r="B582" s="277" t="s">
        <v>312</v>
      </c>
      <c r="C582" s="281">
        <v>952</v>
      </c>
      <c r="D582" s="281" t="s">
        <v>165</v>
      </c>
      <c r="E582" s="281" t="s">
        <v>187</v>
      </c>
      <c r="F582" s="276"/>
      <c r="G582" s="27">
        <f t="shared" si="332"/>
        <v>48515763.619999997</v>
      </c>
      <c r="H582" s="27">
        <f t="shared" si="332"/>
        <v>48515763.619999997</v>
      </c>
      <c r="I582" s="27">
        <f t="shared" si="332"/>
        <v>46588304.530000001</v>
      </c>
      <c r="J582" s="207">
        <f t="shared" si="303"/>
        <v>96.027148814771152</v>
      </c>
      <c r="M582" s="295"/>
      <c r="N582" s="295"/>
      <c r="O582" s="295"/>
    </row>
    <row r="583" spans="1:15" x14ac:dyDescent="0.25">
      <c r="A583" s="276">
        <v>572</v>
      </c>
      <c r="B583" s="277" t="s">
        <v>65</v>
      </c>
      <c r="C583" s="281">
        <v>952</v>
      </c>
      <c r="D583" s="281" t="s">
        <v>165</v>
      </c>
      <c r="E583" s="281" t="s">
        <v>206</v>
      </c>
      <c r="F583" s="276"/>
      <c r="G583" s="27">
        <f>G584+G587</f>
        <v>48515763.619999997</v>
      </c>
      <c r="H583" s="27">
        <f t="shared" ref="H583:I583" si="333">H584+H587</f>
        <v>48515763.619999997</v>
      </c>
      <c r="I583" s="27">
        <f t="shared" si="333"/>
        <v>46588304.530000001</v>
      </c>
      <c r="J583" s="207">
        <f t="shared" si="303"/>
        <v>96.027148814771152</v>
      </c>
      <c r="M583" s="295"/>
      <c r="N583" s="295"/>
      <c r="O583" s="295"/>
    </row>
    <row r="584" spans="1:15" ht="45" x14ac:dyDescent="0.25">
      <c r="A584" s="276">
        <v>573</v>
      </c>
      <c r="B584" s="277" t="s">
        <v>340</v>
      </c>
      <c r="C584" s="281">
        <v>952</v>
      </c>
      <c r="D584" s="281" t="s">
        <v>165</v>
      </c>
      <c r="E584" s="281" t="s">
        <v>207</v>
      </c>
      <c r="F584" s="276"/>
      <c r="G584" s="27">
        <f t="shared" si="332"/>
        <v>44794853.619999997</v>
      </c>
      <c r="H584" s="27">
        <f t="shared" si="332"/>
        <v>44794853.619999997</v>
      </c>
      <c r="I584" s="27">
        <f t="shared" si="332"/>
        <v>42867394.530000001</v>
      </c>
      <c r="J584" s="207">
        <f t="shared" si="303"/>
        <v>95.697141670891796</v>
      </c>
      <c r="M584" s="295"/>
      <c r="N584" s="295"/>
      <c r="O584" s="295"/>
    </row>
    <row r="585" spans="1:15" ht="30" x14ac:dyDescent="0.25">
      <c r="A585" s="276">
        <v>574</v>
      </c>
      <c r="B585" s="282" t="s">
        <v>48</v>
      </c>
      <c r="C585" s="281">
        <v>952</v>
      </c>
      <c r="D585" s="281" t="s">
        <v>165</v>
      </c>
      <c r="E585" s="281" t="s">
        <v>207</v>
      </c>
      <c r="F585" s="276">
        <v>600</v>
      </c>
      <c r="G585" s="27">
        <f t="shared" ref="G585" si="334">G586</f>
        <v>44794853.619999997</v>
      </c>
      <c r="H585" s="27">
        <f t="shared" ref="H585:I585" si="335">H586</f>
        <v>44794853.619999997</v>
      </c>
      <c r="I585" s="27">
        <f t="shared" si="335"/>
        <v>42867394.530000001</v>
      </c>
      <c r="J585" s="207">
        <f t="shared" si="303"/>
        <v>95.697141670891796</v>
      </c>
      <c r="M585" s="295"/>
      <c r="N585" s="295"/>
      <c r="O585" s="295"/>
    </row>
    <row r="586" spans="1:15" x14ac:dyDescent="0.25">
      <c r="A586" s="276">
        <v>575</v>
      </c>
      <c r="B586" s="282" t="s">
        <v>66</v>
      </c>
      <c r="C586" s="281">
        <v>952</v>
      </c>
      <c r="D586" s="281" t="s">
        <v>165</v>
      </c>
      <c r="E586" s="281" t="s">
        <v>207</v>
      </c>
      <c r="F586" s="276">
        <v>610</v>
      </c>
      <c r="G586" s="27">
        <f>39840204.21+2410861+1782966+760822.41</f>
        <v>44794853.619999997</v>
      </c>
      <c r="H586" s="27">
        <v>44794853.619999997</v>
      </c>
      <c r="I586" s="146">
        <v>42867394.530000001</v>
      </c>
      <c r="J586" s="207">
        <f t="shared" si="303"/>
        <v>95.697141670891796</v>
      </c>
      <c r="M586" s="295"/>
      <c r="N586" s="295"/>
      <c r="O586" s="295"/>
    </row>
    <row r="587" spans="1:15" x14ac:dyDescent="0.25">
      <c r="A587" s="276">
        <v>576</v>
      </c>
      <c r="B587" s="283"/>
      <c r="C587" s="281" t="s">
        <v>300</v>
      </c>
      <c r="D587" s="281" t="s">
        <v>165</v>
      </c>
      <c r="E587" s="281" t="s">
        <v>455</v>
      </c>
      <c r="F587" s="276"/>
      <c r="G587" s="27">
        <f>G588</f>
        <v>3720910</v>
      </c>
      <c r="H587" s="27">
        <f t="shared" ref="H587:I588" si="336">H588</f>
        <v>3720910</v>
      </c>
      <c r="I587" s="27">
        <f t="shared" si="336"/>
        <v>3720910</v>
      </c>
      <c r="J587" s="207">
        <f t="shared" si="303"/>
        <v>100</v>
      </c>
      <c r="M587" s="295"/>
      <c r="N587" s="295"/>
      <c r="O587" s="295"/>
    </row>
    <row r="588" spans="1:15" ht="30" x14ac:dyDescent="0.25">
      <c r="A588" s="276">
        <v>577</v>
      </c>
      <c r="B588" s="282" t="s">
        <v>48</v>
      </c>
      <c r="C588" s="281" t="s">
        <v>300</v>
      </c>
      <c r="D588" s="281" t="s">
        <v>165</v>
      </c>
      <c r="E588" s="281" t="s">
        <v>455</v>
      </c>
      <c r="F588" s="276">
        <v>600</v>
      </c>
      <c r="G588" s="27">
        <f>G589</f>
        <v>3720910</v>
      </c>
      <c r="H588" s="27">
        <f t="shared" si="336"/>
        <v>3720910</v>
      </c>
      <c r="I588" s="27">
        <f t="shared" si="336"/>
        <v>3720910</v>
      </c>
      <c r="J588" s="207">
        <f t="shared" si="303"/>
        <v>100</v>
      </c>
      <c r="M588" s="295"/>
      <c r="N588" s="295"/>
      <c r="O588" s="295"/>
    </row>
    <row r="589" spans="1:15" x14ac:dyDescent="0.25">
      <c r="A589" s="276">
        <v>578</v>
      </c>
      <c r="B589" s="282" t="s">
        <v>66</v>
      </c>
      <c r="C589" s="281" t="s">
        <v>300</v>
      </c>
      <c r="D589" s="281" t="s">
        <v>165</v>
      </c>
      <c r="E589" s="281" t="s">
        <v>455</v>
      </c>
      <c r="F589" s="276">
        <v>610</v>
      </c>
      <c r="G589" s="27">
        <f>4163600+94410-479900-35478-21722</f>
        <v>3720910</v>
      </c>
      <c r="H589" s="27">
        <v>3720910</v>
      </c>
      <c r="I589" s="146">
        <v>3720910</v>
      </c>
      <c r="J589" s="207">
        <f t="shared" ref="J589:J652" si="337">I589/H589*100</f>
        <v>100</v>
      </c>
      <c r="M589" s="295"/>
      <c r="N589" s="295"/>
      <c r="O589" s="295"/>
    </row>
    <row r="590" spans="1:15" x14ac:dyDescent="0.25">
      <c r="A590" s="276">
        <v>579</v>
      </c>
      <c r="B590" s="282" t="s">
        <v>70</v>
      </c>
      <c r="C590" s="281">
        <v>952</v>
      </c>
      <c r="D590" s="281" t="s">
        <v>117</v>
      </c>
      <c r="E590" s="281"/>
      <c r="F590" s="276"/>
      <c r="G590" s="27">
        <f t="shared" ref="G590:I594" si="338">G591</f>
        <v>11456700.199999999</v>
      </c>
      <c r="H590" s="27">
        <f t="shared" si="338"/>
        <v>11456700.199999999</v>
      </c>
      <c r="I590" s="27">
        <f t="shared" si="338"/>
        <v>10274423.9</v>
      </c>
      <c r="J590" s="207">
        <f t="shared" si="337"/>
        <v>89.680481470572133</v>
      </c>
      <c r="L590" s="46"/>
      <c r="M590" s="295"/>
      <c r="N590" s="295"/>
      <c r="O590" s="295"/>
    </row>
    <row r="591" spans="1:15" x14ac:dyDescent="0.25">
      <c r="A591" s="276">
        <v>580</v>
      </c>
      <c r="B591" s="277" t="s">
        <v>71</v>
      </c>
      <c r="C591" s="281">
        <v>952</v>
      </c>
      <c r="D591" s="281" t="s">
        <v>117</v>
      </c>
      <c r="E591" s="281" t="s">
        <v>208</v>
      </c>
      <c r="F591" s="276"/>
      <c r="G591" s="27">
        <f>G592+G599+G606</f>
        <v>11456700.199999999</v>
      </c>
      <c r="H591" s="27">
        <f>H592+H599+H606</f>
        <v>11456700.199999999</v>
      </c>
      <c r="I591" s="27">
        <f>I592+I599+I606</f>
        <v>10274423.9</v>
      </c>
      <c r="J591" s="207">
        <f t="shared" si="337"/>
        <v>89.680481470572133</v>
      </c>
      <c r="M591" s="295"/>
      <c r="N591" s="295"/>
      <c r="O591" s="295"/>
    </row>
    <row r="592" spans="1:15" x14ac:dyDescent="0.25">
      <c r="A592" s="276">
        <v>581</v>
      </c>
      <c r="B592" s="277" t="s">
        <v>297</v>
      </c>
      <c r="C592" s="281">
        <v>952</v>
      </c>
      <c r="D592" s="281" t="s">
        <v>117</v>
      </c>
      <c r="E592" s="281" t="s">
        <v>239</v>
      </c>
      <c r="F592" s="276"/>
      <c r="G592" s="27">
        <f>G593+G596</f>
        <v>11092100.199999999</v>
      </c>
      <c r="H592" s="27">
        <f t="shared" ref="H592:I592" si="339">H593+H596</f>
        <v>11092100.199999999</v>
      </c>
      <c r="I592" s="27">
        <f t="shared" si="339"/>
        <v>9910118.9399999995</v>
      </c>
      <c r="J592" s="207">
        <f t="shared" si="337"/>
        <v>89.343936326864409</v>
      </c>
      <c r="M592" s="295"/>
      <c r="N592" s="295"/>
      <c r="O592" s="295"/>
    </row>
    <row r="593" spans="1:15" ht="45" x14ac:dyDescent="0.25">
      <c r="A593" s="276">
        <v>582</v>
      </c>
      <c r="B593" s="277" t="s">
        <v>341</v>
      </c>
      <c r="C593" s="281">
        <v>952</v>
      </c>
      <c r="D593" s="281" t="s">
        <v>117</v>
      </c>
      <c r="E593" s="281" t="s">
        <v>298</v>
      </c>
      <c r="F593" s="276"/>
      <c r="G593" s="27">
        <f t="shared" si="338"/>
        <v>10588700.199999999</v>
      </c>
      <c r="H593" s="27">
        <f t="shared" si="338"/>
        <v>10588700.199999999</v>
      </c>
      <c r="I593" s="27">
        <f t="shared" si="338"/>
        <v>9406718.9399999995</v>
      </c>
      <c r="J593" s="207">
        <f t="shared" si="337"/>
        <v>88.837333783423205</v>
      </c>
      <c r="M593" s="295"/>
      <c r="N593" s="295"/>
      <c r="O593" s="295"/>
    </row>
    <row r="594" spans="1:15" ht="30" x14ac:dyDescent="0.25">
      <c r="A594" s="276">
        <v>583</v>
      </c>
      <c r="B594" s="282" t="s">
        <v>48</v>
      </c>
      <c r="C594" s="281">
        <v>952</v>
      </c>
      <c r="D594" s="281" t="s">
        <v>117</v>
      </c>
      <c r="E594" s="281" t="s">
        <v>298</v>
      </c>
      <c r="F594" s="276">
        <v>600</v>
      </c>
      <c r="G594" s="27">
        <f t="shared" ref="G594" si="340">G595</f>
        <v>10588700.199999999</v>
      </c>
      <c r="H594" s="27">
        <f t="shared" si="338"/>
        <v>10588700.199999999</v>
      </c>
      <c r="I594" s="27">
        <f t="shared" si="338"/>
        <v>9406718.9399999995</v>
      </c>
      <c r="J594" s="207">
        <f t="shared" si="337"/>
        <v>88.837333783423205</v>
      </c>
      <c r="M594" s="295"/>
      <c r="N594" s="295"/>
      <c r="O594" s="295"/>
    </row>
    <row r="595" spans="1:15" x14ac:dyDescent="0.25">
      <c r="A595" s="276">
        <v>584</v>
      </c>
      <c r="B595" s="282" t="s">
        <v>66</v>
      </c>
      <c r="C595" s="281">
        <v>952</v>
      </c>
      <c r="D595" s="281" t="s">
        <v>117</v>
      </c>
      <c r="E595" s="281" t="s">
        <v>298</v>
      </c>
      <c r="F595" s="276">
        <v>610</v>
      </c>
      <c r="G595" s="27">
        <f>7450577.2+303730+772500+594602+1361829+105462</f>
        <v>10588700.199999999</v>
      </c>
      <c r="H595" s="27">
        <v>10588700.199999999</v>
      </c>
      <c r="I595" s="146">
        <v>9406718.9399999995</v>
      </c>
      <c r="J595" s="207">
        <f t="shared" si="337"/>
        <v>88.837333783423205</v>
      </c>
      <c r="M595" s="295"/>
      <c r="N595" s="295"/>
      <c r="O595" s="295"/>
    </row>
    <row r="596" spans="1:15" ht="45" x14ac:dyDescent="0.25">
      <c r="A596" s="276">
        <v>585</v>
      </c>
      <c r="B596" s="279" t="s">
        <v>356</v>
      </c>
      <c r="C596" s="281">
        <v>952</v>
      </c>
      <c r="D596" s="281" t="s">
        <v>117</v>
      </c>
      <c r="E596" s="281" t="s">
        <v>299</v>
      </c>
      <c r="F596" s="276"/>
      <c r="G596" s="27">
        <f t="shared" ref="G596:I597" si="341">G597</f>
        <v>503400</v>
      </c>
      <c r="H596" s="27">
        <f t="shared" si="341"/>
        <v>503400</v>
      </c>
      <c r="I596" s="27">
        <f t="shared" si="341"/>
        <v>503400</v>
      </c>
      <c r="J596" s="207">
        <f t="shared" si="337"/>
        <v>100</v>
      </c>
      <c r="L596" s="46"/>
      <c r="M596" s="295"/>
      <c r="N596" s="295"/>
      <c r="O596" s="295"/>
    </row>
    <row r="597" spans="1:15" ht="30" x14ac:dyDescent="0.25">
      <c r="A597" s="276">
        <v>586</v>
      </c>
      <c r="B597" s="282" t="s">
        <v>48</v>
      </c>
      <c r="C597" s="281">
        <v>952</v>
      </c>
      <c r="D597" s="281" t="s">
        <v>117</v>
      </c>
      <c r="E597" s="281" t="s">
        <v>299</v>
      </c>
      <c r="F597" s="276">
        <v>600</v>
      </c>
      <c r="G597" s="27">
        <f t="shared" ref="G597" si="342">G598</f>
        <v>503400</v>
      </c>
      <c r="H597" s="27">
        <f t="shared" si="341"/>
        <v>503400</v>
      </c>
      <c r="I597" s="27">
        <f t="shared" si="341"/>
        <v>503400</v>
      </c>
      <c r="J597" s="207">
        <f t="shared" si="337"/>
        <v>100</v>
      </c>
      <c r="L597" s="46"/>
      <c r="M597" s="295"/>
      <c r="N597" s="295"/>
      <c r="O597" s="295"/>
    </row>
    <row r="598" spans="1:15" x14ac:dyDescent="0.25">
      <c r="A598" s="276">
        <v>587</v>
      </c>
      <c r="B598" s="282" t="s">
        <v>66</v>
      </c>
      <c r="C598" s="281">
        <v>952</v>
      </c>
      <c r="D598" s="281" t="s">
        <v>117</v>
      </c>
      <c r="E598" s="281" t="s">
        <v>299</v>
      </c>
      <c r="F598" s="276">
        <v>610</v>
      </c>
      <c r="G598" s="27">
        <f>422800+80600</f>
        <v>503400</v>
      </c>
      <c r="H598" s="27">
        <f>422800+80600</f>
        <v>503400</v>
      </c>
      <c r="I598" s="146">
        <f>422800+80600</f>
        <v>503400</v>
      </c>
      <c r="J598" s="207">
        <f t="shared" si="337"/>
        <v>100</v>
      </c>
      <c r="L598" s="46"/>
      <c r="M598" s="295"/>
      <c r="N598" s="295"/>
      <c r="O598" s="295"/>
    </row>
    <row r="599" spans="1:15" x14ac:dyDescent="0.25">
      <c r="A599" s="276">
        <v>588</v>
      </c>
      <c r="B599" s="283" t="s">
        <v>303</v>
      </c>
      <c r="C599" s="281" t="s">
        <v>300</v>
      </c>
      <c r="D599" s="281" t="s">
        <v>117</v>
      </c>
      <c r="E599" s="281" t="s">
        <v>209</v>
      </c>
      <c r="F599" s="276"/>
      <c r="G599" s="27">
        <f>G600+G603</f>
        <v>294600</v>
      </c>
      <c r="H599" s="27">
        <f t="shared" ref="H599:I599" si="343">H600+H603</f>
        <v>294600</v>
      </c>
      <c r="I599" s="27">
        <f t="shared" si="343"/>
        <v>294306</v>
      </c>
      <c r="J599" s="207">
        <f t="shared" si="337"/>
        <v>99.900203665987775</v>
      </c>
      <c r="M599" s="295"/>
      <c r="N599" s="295"/>
      <c r="O599" s="295"/>
    </row>
    <row r="600" spans="1:15" ht="45" x14ac:dyDescent="0.25">
      <c r="A600" s="276">
        <v>589</v>
      </c>
      <c r="B600" s="283" t="s">
        <v>342</v>
      </c>
      <c r="C600" s="281" t="s">
        <v>300</v>
      </c>
      <c r="D600" s="281" t="s">
        <v>117</v>
      </c>
      <c r="E600" s="281" t="s">
        <v>301</v>
      </c>
      <c r="F600" s="276"/>
      <c r="G600" s="27">
        <f t="shared" ref="G600:I601" si="344">G601</f>
        <v>72600</v>
      </c>
      <c r="H600" s="27">
        <f t="shared" si="344"/>
        <v>72600</v>
      </c>
      <c r="I600" s="27">
        <f t="shared" si="344"/>
        <v>72306</v>
      </c>
      <c r="J600" s="207">
        <f t="shared" si="337"/>
        <v>99.595041322314046</v>
      </c>
      <c r="M600" s="295"/>
      <c r="N600" s="295"/>
      <c r="O600" s="295"/>
    </row>
    <row r="601" spans="1:15" ht="30" x14ac:dyDescent="0.25">
      <c r="A601" s="276">
        <v>590</v>
      </c>
      <c r="B601" s="282" t="s">
        <v>48</v>
      </c>
      <c r="C601" s="281" t="s">
        <v>300</v>
      </c>
      <c r="D601" s="281" t="s">
        <v>117</v>
      </c>
      <c r="E601" s="281" t="s">
        <v>301</v>
      </c>
      <c r="F601" s="276">
        <v>600</v>
      </c>
      <c r="G601" s="27">
        <f t="shared" si="344"/>
        <v>72600</v>
      </c>
      <c r="H601" s="27">
        <f t="shared" si="344"/>
        <v>72600</v>
      </c>
      <c r="I601" s="27">
        <f t="shared" si="344"/>
        <v>72306</v>
      </c>
      <c r="J601" s="207">
        <f t="shared" si="337"/>
        <v>99.595041322314046</v>
      </c>
      <c r="M601" s="295"/>
      <c r="N601" s="295"/>
      <c r="O601" s="295"/>
    </row>
    <row r="602" spans="1:15" x14ac:dyDescent="0.25">
      <c r="A602" s="276">
        <v>591</v>
      </c>
      <c r="B602" s="282" t="s">
        <v>66</v>
      </c>
      <c r="C602" s="281" t="s">
        <v>300</v>
      </c>
      <c r="D602" s="281" t="s">
        <v>117</v>
      </c>
      <c r="E602" s="281" t="s">
        <v>301</v>
      </c>
      <c r="F602" s="276">
        <v>610</v>
      </c>
      <c r="G602" s="27">
        <v>72600</v>
      </c>
      <c r="H602" s="27">
        <v>72600</v>
      </c>
      <c r="I602" s="146">
        <v>72306</v>
      </c>
      <c r="J602" s="207">
        <f t="shared" si="337"/>
        <v>99.595041322314046</v>
      </c>
      <c r="M602" s="295"/>
      <c r="N602" s="295"/>
      <c r="O602" s="295"/>
    </row>
    <row r="603" spans="1:15" ht="46.5" customHeight="1" x14ac:dyDescent="0.25">
      <c r="A603" s="276">
        <v>592</v>
      </c>
      <c r="B603" s="282" t="s">
        <v>420</v>
      </c>
      <c r="C603" s="281" t="s">
        <v>300</v>
      </c>
      <c r="D603" s="281" t="s">
        <v>117</v>
      </c>
      <c r="E603" s="281" t="s">
        <v>419</v>
      </c>
      <c r="F603" s="276"/>
      <c r="G603" s="27">
        <f t="shared" ref="G603:I604" si="345">G604</f>
        <v>222000</v>
      </c>
      <c r="H603" s="27">
        <f t="shared" si="345"/>
        <v>222000</v>
      </c>
      <c r="I603" s="27">
        <f t="shared" si="345"/>
        <v>222000</v>
      </c>
      <c r="J603" s="207">
        <f t="shared" si="337"/>
        <v>100</v>
      </c>
      <c r="M603" s="295"/>
      <c r="N603" s="295"/>
      <c r="O603" s="295"/>
    </row>
    <row r="604" spans="1:15" ht="30" x14ac:dyDescent="0.25">
      <c r="A604" s="276">
        <v>593</v>
      </c>
      <c r="B604" s="282" t="s">
        <v>48</v>
      </c>
      <c r="C604" s="281" t="s">
        <v>300</v>
      </c>
      <c r="D604" s="281" t="s">
        <v>117</v>
      </c>
      <c r="E604" s="281" t="s">
        <v>419</v>
      </c>
      <c r="F604" s="276">
        <v>600</v>
      </c>
      <c r="G604" s="27">
        <f t="shared" si="345"/>
        <v>222000</v>
      </c>
      <c r="H604" s="27">
        <f t="shared" si="345"/>
        <v>222000</v>
      </c>
      <c r="I604" s="27">
        <f t="shared" si="345"/>
        <v>222000</v>
      </c>
      <c r="J604" s="207">
        <f t="shared" si="337"/>
        <v>100</v>
      </c>
      <c r="M604" s="295"/>
      <c r="N604" s="295"/>
      <c r="O604" s="295"/>
    </row>
    <row r="605" spans="1:15" x14ac:dyDescent="0.25">
      <c r="A605" s="276">
        <v>594</v>
      </c>
      <c r="B605" s="282" t="s">
        <v>66</v>
      </c>
      <c r="C605" s="281" t="s">
        <v>300</v>
      </c>
      <c r="D605" s="281" t="s">
        <v>117</v>
      </c>
      <c r="E605" s="281" t="s">
        <v>419</v>
      </c>
      <c r="F605" s="276">
        <v>610</v>
      </c>
      <c r="G605" s="27">
        <f>22000+200000</f>
        <v>222000</v>
      </c>
      <c r="H605" s="27">
        <v>222000</v>
      </c>
      <c r="I605" s="146">
        <v>222000</v>
      </c>
      <c r="J605" s="207">
        <f t="shared" si="337"/>
        <v>100</v>
      </c>
      <c r="M605" s="295"/>
      <c r="N605" s="295"/>
      <c r="O605" s="295"/>
    </row>
    <row r="606" spans="1:15" ht="30" x14ac:dyDescent="0.25">
      <c r="A606" s="276">
        <v>595</v>
      </c>
      <c r="B606" s="283" t="s">
        <v>314</v>
      </c>
      <c r="C606" s="281" t="s">
        <v>300</v>
      </c>
      <c r="D606" s="281" t="s">
        <v>117</v>
      </c>
      <c r="E606" s="281" t="s">
        <v>240</v>
      </c>
      <c r="F606" s="276"/>
      <c r="G606" s="27">
        <f t="shared" ref="G606:I608" si="346">G607</f>
        <v>70000</v>
      </c>
      <c r="H606" s="27">
        <f t="shared" si="346"/>
        <v>70000</v>
      </c>
      <c r="I606" s="27">
        <f t="shared" si="346"/>
        <v>69998.960000000006</v>
      </c>
      <c r="J606" s="207">
        <f t="shared" si="337"/>
        <v>99.998514285714293</v>
      </c>
      <c r="M606" s="295"/>
      <c r="N606" s="295"/>
      <c r="O606" s="295"/>
    </row>
    <row r="607" spans="1:15" ht="90.75" customHeight="1" x14ac:dyDescent="0.25">
      <c r="A607" s="276">
        <v>596</v>
      </c>
      <c r="B607" s="283" t="s">
        <v>343</v>
      </c>
      <c r="C607" s="281" t="s">
        <v>300</v>
      </c>
      <c r="D607" s="281" t="s">
        <v>117</v>
      </c>
      <c r="E607" s="281" t="s">
        <v>302</v>
      </c>
      <c r="F607" s="276"/>
      <c r="G607" s="27">
        <f t="shared" si="346"/>
        <v>70000</v>
      </c>
      <c r="H607" s="27">
        <f t="shared" si="346"/>
        <v>70000</v>
      </c>
      <c r="I607" s="27">
        <f t="shared" si="346"/>
        <v>69998.960000000006</v>
      </c>
      <c r="J607" s="207">
        <f t="shared" si="337"/>
        <v>99.998514285714293</v>
      </c>
      <c r="M607" s="295"/>
      <c r="N607" s="295"/>
      <c r="O607" s="295"/>
    </row>
    <row r="608" spans="1:15" ht="30" x14ac:dyDescent="0.25">
      <c r="A608" s="276">
        <v>597</v>
      </c>
      <c r="B608" s="282" t="s">
        <v>48</v>
      </c>
      <c r="C608" s="281" t="s">
        <v>300</v>
      </c>
      <c r="D608" s="281" t="s">
        <v>117</v>
      </c>
      <c r="E608" s="281" t="s">
        <v>302</v>
      </c>
      <c r="F608" s="276">
        <v>600</v>
      </c>
      <c r="G608" s="27">
        <f t="shared" si="346"/>
        <v>70000</v>
      </c>
      <c r="H608" s="27">
        <f t="shared" si="346"/>
        <v>70000</v>
      </c>
      <c r="I608" s="27">
        <f t="shared" si="346"/>
        <v>69998.960000000006</v>
      </c>
      <c r="J608" s="207">
        <f t="shared" si="337"/>
        <v>99.998514285714293</v>
      </c>
      <c r="M608" s="295"/>
      <c r="N608" s="295"/>
      <c r="O608" s="295"/>
    </row>
    <row r="609" spans="1:15" x14ac:dyDescent="0.25">
      <c r="A609" s="276">
        <v>598</v>
      </c>
      <c r="B609" s="282" t="s">
        <v>66</v>
      </c>
      <c r="C609" s="281" t="s">
        <v>300</v>
      </c>
      <c r="D609" s="281" t="s">
        <v>117</v>
      </c>
      <c r="E609" s="281" t="s">
        <v>302</v>
      </c>
      <c r="F609" s="276">
        <v>610</v>
      </c>
      <c r="G609" s="27">
        <v>70000</v>
      </c>
      <c r="H609" s="27">
        <v>70000</v>
      </c>
      <c r="I609" s="146">
        <v>69998.960000000006</v>
      </c>
      <c r="J609" s="207">
        <f t="shared" si="337"/>
        <v>99.998514285714293</v>
      </c>
      <c r="M609" s="295"/>
      <c r="N609" s="295"/>
      <c r="O609" s="295"/>
    </row>
    <row r="610" spans="1:15" x14ac:dyDescent="0.25">
      <c r="A610" s="276">
        <v>599</v>
      </c>
      <c r="B610" s="298" t="s">
        <v>119</v>
      </c>
      <c r="C610" s="281">
        <v>952</v>
      </c>
      <c r="D610" s="281" t="s">
        <v>120</v>
      </c>
      <c r="E610" s="281"/>
      <c r="F610" s="276"/>
      <c r="G610" s="27">
        <f>G611+G646</f>
        <v>100338558.53</v>
      </c>
      <c r="H610" s="27">
        <f>H611+H646</f>
        <v>100338558.53000002</v>
      </c>
      <c r="I610" s="27">
        <f>I611+I646</f>
        <v>98721460.679999992</v>
      </c>
      <c r="J610" s="207">
        <f t="shared" si="337"/>
        <v>98.388358499772025</v>
      </c>
      <c r="M610" s="295"/>
      <c r="N610" s="295"/>
      <c r="O610" s="295"/>
    </row>
    <row r="611" spans="1:15" x14ac:dyDescent="0.25">
      <c r="A611" s="276">
        <v>600</v>
      </c>
      <c r="B611" s="31" t="s">
        <v>67</v>
      </c>
      <c r="C611" s="281">
        <v>952</v>
      </c>
      <c r="D611" s="281" t="s">
        <v>121</v>
      </c>
      <c r="E611" s="281"/>
      <c r="F611" s="276"/>
      <c r="G611" s="27">
        <f t="shared" ref="G611:I611" si="347">G612</f>
        <v>95433254.489999995</v>
      </c>
      <c r="H611" s="27">
        <f t="shared" si="347"/>
        <v>95433254.49000001</v>
      </c>
      <c r="I611" s="27">
        <f t="shared" si="347"/>
        <v>93826805.929999992</v>
      </c>
      <c r="J611" s="207">
        <f t="shared" si="337"/>
        <v>98.316678427677061</v>
      </c>
      <c r="M611" s="295"/>
      <c r="N611" s="295"/>
      <c r="O611" s="295"/>
    </row>
    <row r="612" spans="1:15" x14ac:dyDescent="0.25">
      <c r="A612" s="276">
        <v>601</v>
      </c>
      <c r="B612" s="277" t="s">
        <v>312</v>
      </c>
      <c r="C612" s="281">
        <v>952</v>
      </c>
      <c r="D612" s="281" t="s">
        <v>121</v>
      </c>
      <c r="E612" s="281" t="s">
        <v>187</v>
      </c>
      <c r="F612" s="276"/>
      <c r="G612" s="27">
        <f>G613+G620+G627</f>
        <v>95433254.489999995</v>
      </c>
      <c r="H612" s="27">
        <f t="shared" ref="H612:I612" si="348">H613+H620+H627</f>
        <v>95433254.49000001</v>
      </c>
      <c r="I612" s="27">
        <f t="shared" si="348"/>
        <v>93826805.929999992</v>
      </c>
      <c r="J612" s="207">
        <f t="shared" si="337"/>
        <v>98.316678427677061</v>
      </c>
      <c r="M612" s="295"/>
      <c r="N612" s="295"/>
      <c r="O612" s="295"/>
    </row>
    <row r="613" spans="1:15" x14ac:dyDescent="0.25">
      <c r="A613" s="276">
        <v>602</v>
      </c>
      <c r="B613" s="277" t="s">
        <v>68</v>
      </c>
      <c r="C613" s="281">
        <v>952</v>
      </c>
      <c r="D613" s="281" t="s">
        <v>121</v>
      </c>
      <c r="E613" s="281" t="s">
        <v>210</v>
      </c>
      <c r="F613" s="276"/>
      <c r="G613" s="27">
        <f t="shared" ref="G613:I613" si="349">G614+G617</f>
        <v>36372006.969999999</v>
      </c>
      <c r="H613" s="27">
        <f t="shared" si="349"/>
        <v>36372006.969999999</v>
      </c>
      <c r="I613" s="27">
        <f t="shared" si="349"/>
        <v>35390120.07</v>
      </c>
      <c r="J613" s="207">
        <f t="shared" si="337"/>
        <v>97.300432442977737</v>
      </c>
      <c r="M613" s="295"/>
      <c r="N613" s="295"/>
      <c r="O613" s="295"/>
    </row>
    <row r="614" spans="1:15" ht="45" x14ac:dyDescent="0.25">
      <c r="A614" s="276">
        <v>603</v>
      </c>
      <c r="B614" s="56" t="s">
        <v>344</v>
      </c>
      <c r="C614" s="281">
        <v>952</v>
      </c>
      <c r="D614" s="281" t="s">
        <v>121</v>
      </c>
      <c r="E614" s="281" t="s">
        <v>211</v>
      </c>
      <c r="F614" s="276"/>
      <c r="G614" s="27">
        <f t="shared" ref="G614:I615" si="350">G615</f>
        <v>30451608.219999999</v>
      </c>
      <c r="H614" s="27">
        <f t="shared" si="350"/>
        <v>30451608.219999999</v>
      </c>
      <c r="I614" s="27">
        <f t="shared" si="350"/>
        <v>29650267.300000001</v>
      </c>
      <c r="J614" s="207">
        <f t="shared" si="337"/>
        <v>97.368477506308864</v>
      </c>
      <c r="M614" s="295"/>
      <c r="N614" s="295"/>
      <c r="O614" s="295"/>
    </row>
    <row r="615" spans="1:15" ht="30" x14ac:dyDescent="0.25">
      <c r="A615" s="276">
        <v>604</v>
      </c>
      <c r="B615" s="282" t="s">
        <v>48</v>
      </c>
      <c r="C615" s="281">
        <v>952</v>
      </c>
      <c r="D615" s="281" t="s">
        <v>121</v>
      </c>
      <c r="E615" s="281" t="s">
        <v>211</v>
      </c>
      <c r="F615" s="276">
        <v>600</v>
      </c>
      <c r="G615" s="27">
        <f t="shared" si="350"/>
        <v>30451608.219999999</v>
      </c>
      <c r="H615" s="27">
        <f t="shared" si="350"/>
        <v>30451608.219999999</v>
      </c>
      <c r="I615" s="27">
        <f t="shared" si="350"/>
        <v>29650267.300000001</v>
      </c>
      <c r="J615" s="207">
        <f t="shared" si="337"/>
        <v>97.368477506308864</v>
      </c>
      <c r="M615" s="295"/>
      <c r="N615" s="295"/>
      <c r="O615" s="295"/>
    </row>
    <row r="616" spans="1:15" x14ac:dyDescent="0.25">
      <c r="A616" s="276">
        <v>605</v>
      </c>
      <c r="B616" s="282" t="s">
        <v>66</v>
      </c>
      <c r="C616" s="281">
        <v>952</v>
      </c>
      <c r="D616" s="281" t="s">
        <v>121</v>
      </c>
      <c r="E616" s="281" t="s">
        <v>211</v>
      </c>
      <c r="F616" s="276">
        <v>610</v>
      </c>
      <c r="G616" s="27">
        <f>25164780.72+1771762-300-182280+154900+2862900+679845.5</f>
        <v>30451608.219999999</v>
      </c>
      <c r="H616" s="27">
        <v>30451608.219999999</v>
      </c>
      <c r="I616" s="146">
        <v>29650267.300000001</v>
      </c>
      <c r="J616" s="207">
        <f t="shared" si="337"/>
        <v>97.368477506308864</v>
      </c>
      <c r="M616" s="295"/>
      <c r="N616" s="295"/>
      <c r="O616" s="295"/>
    </row>
    <row r="617" spans="1:15" ht="30" x14ac:dyDescent="0.25">
      <c r="A617" s="276">
        <v>606</v>
      </c>
      <c r="B617" s="56" t="s">
        <v>345</v>
      </c>
      <c r="C617" s="281">
        <v>952</v>
      </c>
      <c r="D617" s="281" t="s">
        <v>121</v>
      </c>
      <c r="E617" s="281" t="s">
        <v>212</v>
      </c>
      <c r="F617" s="276"/>
      <c r="G617" s="27">
        <f t="shared" ref="G617:I618" si="351">G618</f>
        <v>5920398.75</v>
      </c>
      <c r="H617" s="27">
        <f t="shared" si="351"/>
        <v>5920398.75</v>
      </c>
      <c r="I617" s="27">
        <f t="shared" si="351"/>
        <v>5739852.7699999996</v>
      </c>
      <c r="J617" s="207">
        <f t="shared" si="337"/>
        <v>96.950442231614886</v>
      </c>
      <c r="M617" s="295"/>
      <c r="N617" s="295"/>
      <c r="O617" s="295"/>
    </row>
    <row r="618" spans="1:15" ht="30" x14ac:dyDescent="0.25">
      <c r="A618" s="276">
        <v>607</v>
      </c>
      <c r="B618" s="282" t="s">
        <v>48</v>
      </c>
      <c r="C618" s="281">
        <v>952</v>
      </c>
      <c r="D618" s="281" t="s">
        <v>121</v>
      </c>
      <c r="E618" s="281" t="s">
        <v>212</v>
      </c>
      <c r="F618" s="276">
        <v>600</v>
      </c>
      <c r="G618" s="27">
        <f t="shared" si="351"/>
        <v>5920398.75</v>
      </c>
      <c r="H618" s="27">
        <f t="shared" si="351"/>
        <v>5920398.75</v>
      </c>
      <c r="I618" s="27">
        <f t="shared" si="351"/>
        <v>5739852.7699999996</v>
      </c>
      <c r="J618" s="207">
        <f t="shared" si="337"/>
        <v>96.950442231614886</v>
      </c>
      <c r="M618" s="295"/>
      <c r="N618" s="295"/>
      <c r="O618" s="295"/>
    </row>
    <row r="619" spans="1:15" x14ac:dyDescent="0.25">
      <c r="A619" s="276">
        <v>608</v>
      </c>
      <c r="B619" s="282" t="s">
        <v>66</v>
      </c>
      <c r="C619" s="281">
        <v>952</v>
      </c>
      <c r="D619" s="281" t="s">
        <v>121</v>
      </c>
      <c r="E619" s="281" t="s">
        <v>212</v>
      </c>
      <c r="F619" s="276">
        <v>610</v>
      </c>
      <c r="G619" s="27">
        <f>4953211+335370+511200+120617.75</f>
        <v>5920398.75</v>
      </c>
      <c r="H619" s="27">
        <v>5920398.75</v>
      </c>
      <c r="I619" s="146">
        <v>5739852.7699999996</v>
      </c>
      <c r="J619" s="207">
        <f t="shared" si="337"/>
        <v>96.950442231614886</v>
      </c>
      <c r="M619" s="295"/>
      <c r="N619" s="295"/>
      <c r="O619" s="295"/>
    </row>
    <row r="620" spans="1:15" x14ac:dyDescent="0.25">
      <c r="A620" s="276">
        <v>609</v>
      </c>
      <c r="B620" s="310" t="s">
        <v>69</v>
      </c>
      <c r="C620" s="281">
        <v>952</v>
      </c>
      <c r="D620" s="281" t="s">
        <v>121</v>
      </c>
      <c r="E620" s="281" t="s">
        <v>213</v>
      </c>
      <c r="F620" s="276"/>
      <c r="G620" s="27">
        <f>G621+G624</f>
        <v>57721477.519999996</v>
      </c>
      <c r="H620" s="27">
        <f t="shared" ref="H620:I620" si="352">H621+H624</f>
        <v>57721477.520000003</v>
      </c>
      <c r="I620" s="27">
        <f t="shared" si="352"/>
        <v>57096916.159999996</v>
      </c>
      <c r="J620" s="207">
        <f t="shared" si="337"/>
        <v>98.917974059510854</v>
      </c>
      <c r="M620" s="295"/>
      <c r="N620" s="295"/>
      <c r="O620" s="295"/>
    </row>
    <row r="621" spans="1:15" ht="45" x14ac:dyDescent="0.25">
      <c r="A621" s="276">
        <v>610</v>
      </c>
      <c r="B621" s="56" t="s">
        <v>346</v>
      </c>
      <c r="C621" s="281">
        <v>952</v>
      </c>
      <c r="D621" s="281" t="s">
        <v>121</v>
      </c>
      <c r="E621" s="281" t="s">
        <v>214</v>
      </c>
      <c r="F621" s="276"/>
      <c r="G621" s="27">
        <f t="shared" ref="G621:I622" si="353">G622</f>
        <v>33921367.519999996</v>
      </c>
      <c r="H621" s="27">
        <f t="shared" si="353"/>
        <v>33921367.520000003</v>
      </c>
      <c r="I621" s="27">
        <f t="shared" si="353"/>
        <v>33296806.16</v>
      </c>
      <c r="J621" s="207">
        <f t="shared" si="337"/>
        <v>98.158796635684681</v>
      </c>
      <c r="M621" s="295"/>
      <c r="N621" s="295"/>
      <c r="O621" s="295"/>
    </row>
    <row r="622" spans="1:15" ht="30" x14ac:dyDescent="0.25">
      <c r="A622" s="276">
        <v>611</v>
      </c>
      <c r="B622" s="282" t="s">
        <v>48</v>
      </c>
      <c r="C622" s="281">
        <v>952</v>
      </c>
      <c r="D622" s="281" t="s">
        <v>121</v>
      </c>
      <c r="E622" s="281" t="s">
        <v>214</v>
      </c>
      <c r="F622" s="276">
        <v>600</v>
      </c>
      <c r="G622" s="27">
        <f t="shared" si="353"/>
        <v>33921367.519999996</v>
      </c>
      <c r="H622" s="27">
        <f t="shared" si="353"/>
        <v>33921367.520000003</v>
      </c>
      <c r="I622" s="27">
        <f t="shared" si="353"/>
        <v>33296806.16</v>
      </c>
      <c r="J622" s="207">
        <f t="shared" si="337"/>
        <v>98.158796635684681</v>
      </c>
      <c r="M622" s="295"/>
      <c r="N622" s="295"/>
      <c r="O622" s="295"/>
    </row>
    <row r="623" spans="1:15" x14ac:dyDescent="0.25">
      <c r="A623" s="276">
        <v>612</v>
      </c>
      <c r="B623" s="282" t="s">
        <v>66</v>
      </c>
      <c r="C623" s="281">
        <v>952</v>
      </c>
      <c r="D623" s="281" t="s">
        <v>121</v>
      </c>
      <c r="E623" s="281" t="s">
        <v>214</v>
      </c>
      <c r="F623" s="276">
        <v>610</v>
      </c>
      <c r="G623" s="27">
        <f>25201537.52+2562727-300000-90600+1079065+180013+4192100+1096525</f>
        <v>33921367.519999996</v>
      </c>
      <c r="H623" s="27">
        <v>33921367.520000003</v>
      </c>
      <c r="I623" s="146">
        <v>33296806.16</v>
      </c>
      <c r="J623" s="207">
        <f t="shared" si="337"/>
        <v>98.158796635684681</v>
      </c>
      <c r="M623" s="295"/>
      <c r="N623" s="295"/>
      <c r="O623" s="295"/>
    </row>
    <row r="624" spans="1:15" ht="45" x14ac:dyDescent="0.25">
      <c r="A624" s="276">
        <v>613</v>
      </c>
      <c r="B624" s="56" t="s">
        <v>347</v>
      </c>
      <c r="C624" s="281">
        <v>952</v>
      </c>
      <c r="D624" s="281" t="s">
        <v>121</v>
      </c>
      <c r="E624" s="281" t="s">
        <v>215</v>
      </c>
      <c r="F624" s="276"/>
      <c r="G624" s="27">
        <f t="shared" ref="G624:I625" si="354">G625</f>
        <v>23800110</v>
      </c>
      <c r="H624" s="27">
        <f t="shared" si="354"/>
        <v>23800110</v>
      </c>
      <c r="I624" s="27">
        <f t="shared" si="354"/>
        <v>23800110</v>
      </c>
      <c r="J624" s="207">
        <f t="shared" si="337"/>
        <v>100</v>
      </c>
      <c r="M624" s="295"/>
      <c r="N624" s="295"/>
      <c r="O624" s="295"/>
    </row>
    <row r="625" spans="1:15" ht="30" x14ac:dyDescent="0.25">
      <c r="A625" s="276">
        <v>614</v>
      </c>
      <c r="B625" s="282" t="s">
        <v>48</v>
      </c>
      <c r="C625" s="281">
        <v>952</v>
      </c>
      <c r="D625" s="281" t="s">
        <v>121</v>
      </c>
      <c r="E625" s="281" t="s">
        <v>215</v>
      </c>
      <c r="F625" s="276">
        <v>600</v>
      </c>
      <c r="G625" s="27">
        <f>G626</f>
        <v>23800110</v>
      </c>
      <c r="H625" s="27">
        <f t="shared" si="354"/>
        <v>23800110</v>
      </c>
      <c r="I625" s="27">
        <f t="shared" si="354"/>
        <v>23800110</v>
      </c>
      <c r="J625" s="207">
        <f t="shared" si="337"/>
        <v>100</v>
      </c>
      <c r="M625" s="295"/>
      <c r="N625" s="295"/>
      <c r="O625" s="295"/>
    </row>
    <row r="626" spans="1:15" x14ac:dyDescent="0.25">
      <c r="A626" s="276">
        <v>615</v>
      </c>
      <c r="B626" s="282" t="s">
        <v>66</v>
      </c>
      <c r="C626" s="281">
        <v>952</v>
      </c>
      <c r="D626" s="281" t="s">
        <v>121</v>
      </c>
      <c r="E626" s="281" t="s">
        <v>215</v>
      </c>
      <c r="F626" s="276">
        <v>610</v>
      </c>
      <c r="G626" s="27">
        <v>23800110</v>
      </c>
      <c r="H626" s="27">
        <v>23800110</v>
      </c>
      <c r="I626" s="27">
        <v>23800110</v>
      </c>
      <c r="J626" s="207">
        <f t="shared" si="337"/>
        <v>100</v>
      </c>
      <c r="M626" s="295"/>
      <c r="N626" s="295"/>
      <c r="O626" s="295"/>
    </row>
    <row r="627" spans="1:15" ht="23.25" customHeight="1" x14ac:dyDescent="0.25">
      <c r="A627" s="276">
        <v>616</v>
      </c>
      <c r="B627" s="277" t="s">
        <v>65</v>
      </c>
      <c r="C627" s="281">
        <v>952</v>
      </c>
      <c r="D627" s="281" t="s">
        <v>121</v>
      </c>
      <c r="E627" s="281" t="s">
        <v>206</v>
      </c>
      <c r="F627" s="276"/>
      <c r="G627" s="27">
        <f>G628+G637+G631+G634+G640+G643</f>
        <v>1339770</v>
      </c>
      <c r="H627" s="27">
        <f t="shared" ref="H627:I627" si="355">H628+H637+H631+H634+H640+H643</f>
        <v>1339770</v>
      </c>
      <c r="I627" s="27">
        <f t="shared" si="355"/>
        <v>1339769.7</v>
      </c>
      <c r="J627" s="207">
        <f t="shared" si="337"/>
        <v>99.999977608096913</v>
      </c>
      <c r="M627" s="295"/>
      <c r="N627" s="295"/>
      <c r="O627" s="295"/>
    </row>
    <row r="628" spans="1:15" ht="63" x14ac:dyDescent="0.25">
      <c r="A628" s="276">
        <v>617</v>
      </c>
      <c r="B628" s="278" t="s">
        <v>348</v>
      </c>
      <c r="C628" s="45">
        <v>952</v>
      </c>
      <c r="D628" s="281" t="s">
        <v>121</v>
      </c>
      <c r="E628" s="281" t="s">
        <v>288</v>
      </c>
      <c r="F628" s="45"/>
      <c r="G628" s="27">
        <f t="shared" ref="G628:I628" si="356">G629</f>
        <v>100000</v>
      </c>
      <c r="H628" s="27">
        <f t="shared" si="356"/>
        <v>100000</v>
      </c>
      <c r="I628" s="27">
        <f t="shared" si="356"/>
        <v>100000</v>
      </c>
      <c r="J628" s="207">
        <f t="shared" si="337"/>
        <v>100</v>
      </c>
      <c r="M628" s="295"/>
      <c r="N628" s="295"/>
      <c r="O628" s="295"/>
    </row>
    <row r="629" spans="1:15" ht="31.5" x14ac:dyDescent="0.25">
      <c r="A629" s="276">
        <v>618</v>
      </c>
      <c r="B629" s="57" t="s">
        <v>48</v>
      </c>
      <c r="C629" s="45">
        <v>952</v>
      </c>
      <c r="D629" s="281" t="s">
        <v>121</v>
      </c>
      <c r="E629" s="281" t="s">
        <v>288</v>
      </c>
      <c r="F629" s="45">
        <v>600</v>
      </c>
      <c r="G629" s="27">
        <f>G630</f>
        <v>100000</v>
      </c>
      <c r="H629" s="27">
        <f t="shared" ref="H629:I629" si="357">H630</f>
        <v>100000</v>
      </c>
      <c r="I629" s="27">
        <f t="shared" si="357"/>
        <v>100000</v>
      </c>
      <c r="J629" s="207">
        <f t="shared" si="337"/>
        <v>100</v>
      </c>
      <c r="M629" s="295"/>
      <c r="N629" s="295"/>
      <c r="O629" s="295"/>
    </row>
    <row r="630" spans="1:15" ht="15.75" x14ac:dyDescent="0.25">
      <c r="A630" s="276">
        <v>619</v>
      </c>
      <c r="B630" s="57" t="s">
        <v>66</v>
      </c>
      <c r="C630" s="45">
        <v>952</v>
      </c>
      <c r="D630" s="281" t="s">
        <v>121</v>
      </c>
      <c r="E630" s="281" t="s">
        <v>288</v>
      </c>
      <c r="F630" s="45">
        <v>610</v>
      </c>
      <c r="G630" s="27">
        <v>100000</v>
      </c>
      <c r="H630" s="27">
        <v>100000</v>
      </c>
      <c r="I630" s="146">
        <v>100000</v>
      </c>
      <c r="J630" s="207">
        <f t="shared" si="337"/>
        <v>100</v>
      </c>
      <c r="M630" s="295"/>
      <c r="N630" s="295"/>
      <c r="O630" s="295"/>
    </row>
    <row r="631" spans="1:15" ht="31.5" x14ac:dyDescent="0.25">
      <c r="A631" s="276">
        <v>620</v>
      </c>
      <c r="B631" s="278" t="s">
        <v>454</v>
      </c>
      <c r="C631" s="45">
        <v>952</v>
      </c>
      <c r="D631" s="281" t="s">
        <v>121</v>
      </c>
      <c r="E631" s="281" t="s">
        <v>520</v>
      </c>
      <c r="F631" s="45"/>
      <c r="G631" s="27">
        <f>G632</f>
        <v>147000</v>
      </c>
      <c r="H631" s="27">
        <f t="shared" ref="H631:I632" si="358">H632</f>
        <v>147000</v>
      </c>
      <c r="I631" s="27">
        <f t="shared" si="358"/>
        <v>147000</v>
      </c>
      <c r="J631" s="207">
        <f t="shared" si="337"/>
        <v>100</v>
      </c>
      <c r="M631" s="295"/>
      <c r="N631" s="295"/>
      <c r="O631" s="295"/>
    </row>
    <row r="632" spans="1:15" ht="31.5" x14ac:dyDescent="0.25">
      <c r="A632" s="276">
        <v>621</v>
      </c>
      <c r="B632" s="57" t="s">
        <v>48</v>
      </c>
      <c r="C632" s="45">
        <v>952</v>
      </c>
      <c r="D632" s="281" t="s">
        <v>121</v>
      </c>
      <c r="E632" s="281" t="s">
        <v>520</v>
      </c>
      <c r="F632" s="45">
        <v>600</v>
      </c>
      <c r="G632" s="27">
        <f>G633</f>
        <v>147000</v>
      </c>
      <c r="H632" s="27">
        <f t="shared" si="358"/>
        <v>147000</v>
      </c>
      <c r="I632" s="27">
        <f t="shared" si="358"/>
        <v>147000</v>
      </c>
      <c r="J632" s="207">
        <f t="shared" si="337"/>
        <v>100</v>
      </c>
      <c r="M632" s="295"/>
      <c r="N632" s="295"/>
      <c r="O632" s="295"/>
    </row>
    <row r="633" spans="1:15" ht="15.75" x14ac:dyDescent="0.25">
      <c r="A633" s="276">
        <v>622</v>
      </c>
      <c r="B633" s="57" t="s">
        <v>66</v>
      </c>
      <c r="C633" s="45">
        <v>952</v>
      </c>
      <c r="D633" s="281" t="s">
        <v>121</v>
      </c>
      <c r="E633" s="281" t="s">
        <v>520</v>
      </c>
      <c r="F633" s="45">
        <v>610</v>
      </c>
      <c r="G633" s="27">
        <f>160000+2000-16000+700+300</f>
        <v>147000</v>
      </c>
      <c r="H633" s="27">
        <v>147000</v>
      </c>
      <c r="I633" s="146">
        <v>147000</v>
      </c>
      <c r="J633" s="207">
        <f t="shared" si="337"/>
        <v>100</v>
      </c>
      <c r="M633" s="295"/>
      <c r="N633" s="295"/>
      <c r="O633" s="295"/>
    </row>
    <row r="634" spans="1:15" ht="63" x14ac:dyDescent="0.25">
      <c r="A634" s="276">
        <v>623</v>
      </c>
      <c r="B634" s="57" t="s">
        <v>487</v>
      </c>
      <c r="C634" s="45">
        <v>952</v>
      </c>
      <c r="D634" s="281" t="s">
        <v>121</v>
      </c>
      <c r="E634" s="281" t="s">
        <v>488</v>
      </c>
      <c r="F634" s="45"/>
      <c r="G634" s="27">
        <f>G635</f>
        <v>696970</v>
      </c>
      <c r="H634" s="27">
        <f t="shared" ref="H634:I635" si="359">H635</f>
        <v>696970</v>
      </c>
      <c r="I634" s="27">
        <f t="shared" si="359"/>
        <v>696969.7</v>
      </c>
      <c r="J634" s="207">
        <f t="shared" si="337"/>
        <v>99.999956956540444</v>
      </c>
      <c r="M634" s="295"/>
      <c r="N634" s="295"/>
      <c r="O634" s="295"/>
    </row>
    <row r="635" spans="1:15" ht="31.5" x14ac:dyDescent="0.25">
      <c r="A635" s="276">
        <v>624</v>
      </c>
      <c r="B635" s="57" t="s">
        <v>48</v>
      </c>
      <c r="C635" s="45">
        <v>952</v>
      </c>
      <c r="D635" s="281" t="s">
        <v>121</v>
      </c>
      <c r="E635" s="281" t="s">
        <v>488</v>
      </c>
      <c r="F635" s="45">
        <v>600</v>
      </c>
      <c r="G635" s="27">
        <f>G636</f>
        <v>696970</v>
      </c>
      <c r="H635" s="27">
        <f t="shared" si="359"/>
        <v>696970</v>
      </c>
      <c r="I635" s="27">
        <f t="shared" si="359"/>
        <v>696969.7</v>
      </c>
      <c r="J635" s="207">
        <f t="shared" si="337"/>
        <v>99.999956956540444</v>
      </c>
      <c r="M635" s="295"/>
      <c r="N635" s="295"/>
      <c r="O635" s="295"/>
    </row>
    <row r="636" spans="1:15" ht="15.75" x14ac:dyDescent="0.25">
      <c r="A636" s="276">
        <v>625</v>
      </c>
      <c r="B636" s="57" t="s">
        <v>66</v>
      </c>
      <c r="C636" s="45">
        <v>952</v>
      </c>
      <c r="D636" s="281" t="s">
        <v>121</v>
      </c>
      <c r="E636" s="281" t="s">
        <v>488</v>
      </c>
      <c r="F636" s="45">
        <v>610</v>
      </c>
      <c r="G636" s="27">
        <f>6970+690000</f>
        <v>696970</v>
      </c>
      <c r="H636" s="27">
        <v>696970</v>
      </c>
      <c r="I636" s="146">
        <v>696969.7</v>
      </c>
      <c r="J636" s="207">
        <f t="shared" si="337"/>
        <v>99.999956956540444</v>
      </c>
      <c r="M636" s="295"/>
      <c r="N636" s="295"/>
      <c r="O636" s="295"/>
    </row>
    <row r="637" spans="1:15" ht="47.25" x14ac:dyDescent="0.25">
      <c r="A637" s="276">
        <v>626</v>
      </c>
      <c r="B637" s="278" t="s">
        <v>390</v>
      </c>
      <c r="C637" s="45">
        <v>952</v>
      </c>
      <c r="D637" s="281" t="s">
        <v>121</v>
      </c>
      <c r="E637" s="281" t="s">
        <v>399</v>
      </c>
      <c r="F637" s="45"/>
      <c r="G637" s="27">
        <f t="shared" ref="G637:I638" si="360">G638</f>
        <v>245800</v>
      </c>
      <c r="H637" s="27">
        <f t="shared" si="360"/>
        <v>245800</v>
      </c>
      <c r="I637" s="27">
        <f t="shared" si="360"/>
        <v>245800</v>
      </c>
      <c r="J637" s="207">
        <f t="shared" si="337"/>
        <v>100</v>
      </c>
      <c r="L637" s="46"/>
      <c r="M637" s="295"/>
      <c r="N637" s="295"/>
      <c r="O637" s="295"/>
    </row>
    <row r="638" spans="1:15" ht="31.5" x14ac:dyDescent="0.25">
      <c r="A638" s="276">
        <v>627</v>
      </c>
      <c r="B638" s="57" t="s">
        <v>48</v>
      </c>
      <c r="C638" s="45">
        <v>952</v>
      </c>
      <c r="D638" s="281" t="s">
        <v>121</v>
      </c>
      <c r="E638" s="281" t="s">
        <v>399</v>
      </c>
      <c r="F638" s="45">
        <v>600</v>
      </c>
      <c r="G638" s="27">
        <f t="shared" si="360"/>
        <v>245800</v>
      </c>
      <c r="H638" s="27">
        <f t="shared" si="360"/>
        <v>245800</v>
      </c>
      <c r="I638" s="27">
        <f t="shared" si="360"/>
        <v>245800</v>
      </c>
      <c r="J638" s="207">
        <f t="shared" si="337"/>
        <v>100</v>
      </c>
      <c r="L638" s="46"/>
      <c r="M638" s="295"/>
      <c r="N638" s="295"/>
      <c r="O638" s="295"/>
    </row>
    <row r="639" spans="1:15" ht="15.75" x14ac:dyDescent="0.25">
      <c r="A639" s="276">
        <v>628</v>
      </c>
      <c r="B639" s="57" t="s">
        <v>66</v>
      </c>
      <c r="C639" s="45">
        <v>952</v>
      </c>
      <c r="D639" s="281" t="s">
        <v>121</v>
      </c>
      <c r="E639" s="281" t="s">
        <v>399</v>
      </c>
      <c r="F639" s="45">
        <v>610</v>
      </c>
      <c r="G639" s="27">
        <f>183800+62000</f>
        <v>245800</v>
      </c>
      <c r="H639" s="27">
        <f>183800+62000</f>
        <v>245800</v>
      </c>
      <c r="I639" s="146">
        <f>183800+62000</f>
        <v>245800</v>
      </c>
      <c r="J639" s="207">
        <f t="shared" si="337"/>
        <v>100</v>
      </c>
      <c r="L639" s="46"/>
      <c r="M639" s="295"/>
      <c r="N639" s="295"/>
      <c r="O639" s="295"/>
    </row>
    <row r="640" spans="1:15" ht="56.25" customHeight="1" x14ac:dyDescent="0.25">
      <c r="A640" s="276">
        <v>629</v>
      </c>
      <c r="B640" s="57" t="s">
        <v>525</v>
      </c>
      <c r="C640" s="45">
        <v>952</v>
      </c>
      <c r="D640" s="281" t="s">
        <v>121</v>
      </c>
      <c r="E640" s="281" t="s">
        <v>521</v>
      </c>
      <c r="F640" s="45"/>
      <c r="G640" s="27">
        <f>G641</f>
        <v>50000</v>
      </c>
      <c r="H640" s="27">
        <f t="shared" ref="H640:I640" si="361">H641</f>
        <v>50000</v>
      </c>
      <c r="I640" s="27">
        <f t="shared" si="361"/>
        <v>50000</v>
      </c>
      <c r="J640" s="207">
        <f t="shared" si="337"/>
        <v>100</v>
      </c>
      <c r="L640" s="46"/>
      <c r="M640" s="295"/>
      <c r="N640" s="295"/>
      <c r="O640" s="295"/>
    </row>
    <row r="641" spans="1:15" ht="34.5" customHeight="1" x14ac:dyDescent="0.25">
      <c r="A641" s="276">
        <v>630</v>
      </c>
      <c r="B641" s="57" t="s">
        <v>522</v>
      </c>
      <c r="C641" s="45">
        <v>952</v>
      </c>
      <c r="D641" s="281" t="s">
        <v>121</v>
      </c>
      <c r="E641" s="281" t="s">
        <v>521</v>
      </c>
      <c r="F641" s="45">
        <v>600</v>
      </c>
      <c r="G641" s="27">
        <f>G642</f>
        <v>50000</v>
      </c>
      <c r="H641" s="27">
        <f>H642</f>
        <v>50000</v>
      </c>
      <c r="I641" s="27">
        <f>I642</f>
        <v>50000</v>
      </c>
      <c r="J641" s="207">
        <f t="shared" si="337"/>
        <v>100</v>
      </c>
      <c r="L641" s="46"/>
      <c r="M641" s="295"/>
      <c r="N641" s="295"/>
      <c r="O641" s="295"/>
    </row>
    <row r="642" spans="1:15" ht="15.75" x14ac:dyDescent="0.25">
      <c r="A642" s="276">
        <v>631</v>
      </c>
      <c r="B642" s="57" t="s">
        <v>66</v>
      </c>
      <c r="C642" s="45">
        <v>952</v>
      </c>
      <c r="D642" s="281" t="s">
        <v>121</v>
      </c>
      <c r="E642" s="281" t="s">
        <v>521</v>
      </c>
      <c r="F642" s="45">
        <v>610</v>
      </c>
      <c r="G642" s="27">
        <v>50000</v>
      </c>
      <c r="H642" s="27">
        <v>50000</v>
      </c>
      <c r="I642" s="146">
        <v>50000</v>
      </c>
      <c r="J642" s="207">
        <f t="shared" si="337"/>
        <v>100</v>
      </c>
      <c r="L642" s="46"/>
      <c r="M642" s="295"/>
      <c r="N642" s="295"/>
      <c r="O642" s="295"/>
    </row>
    <row r="643" spans="1:15" ht="52.5" customHeight="1" x14ac:dyDescent="0.25">
      <c r="A643" s="276">
        <v>632</v>
      </c>
      <c r="B643" s="57" t="s">
        <v>524</v>
      </c>
      <c r="C643" s="45">
        <v>952</v>
      </c>
      <c r="D643" s="281" t="s">
        <v>121</v>
      </c>
      <c r="E643" s="281" t="s">
        <v>523</v>
      </c>
      <c r="F643" s="45"/>
      <c r="G643" s="27">
        <f>G644</f>
        <v>100000</v>
      </c>
      <c r="H643" s="27">
        <f t="shared" ref="H643:I644" si="362">H644</f>
        <v>100000</v>
      </c>
      <c r="I643" s="27">
        <f t="shared" si="362"/>
        <v>100000</v>
      </c>
      <c r="J643" s="207">
        <f t="shared" si="337"/>
        <v>100</v>
      </c>
      <c r="L643" s="46"/>
      <c r="M643" s="295"/>
      <c r="N643" s="295"/>
      <c r="O643" s="295"/>
    </row>
    <row r="644" spans="1:15" ht="34.5" customHeight="1" x14ac:dyDescent="0.25">
      <c r="A644" s="276">
        <v>633</v>
      </c>
      <c r="B644" s="57" t="s">
        <v>48</v>
      </c>
      <c r="C644" s="45">
        <v>952</v>
      </c>
      <c r="D644" s="281" t="s">
        <v>121</v>
      </c>
      <c r="E644" s="281" t="s">
        <v>523</v>
      </c>
      <c r="F644" s="45">
        <v>600</v>
      </c>
      <c r="G644" s="27">
        <f>G645</f>
        <v>100000</v>
      </c>
      <c r="H644" s="27">
        <f t="shared" si="362"/>
        <v>100000</v>
      </c>
      <c r="I644" s="27">
        <f t="shared" si="362"/>
        <v>100000</v>
      </c>
      <c r="J644" s="207">
        <f t="shared" si="337"/>
        <v>100</v>
      </c>
      <c r="L644" s="46"/>
      <c r="M644" s="295"/>
      <c r="N644" s="295"/>
      <c r="O644" s="295"/>
    </row>
    <row r="645" spans="1:15" ht="15.75" x14ac:dyDescent="0.25">
      <c r="A645" s="276">
        <v>634</v>
      </c>
      <c r="B645" s="57" t="s">
        <v>66</v>
      </c>
      <c r="C645" s="45">
        <v>952</v>
      </c>
      <c r="D645" s="281" t="s">
        <v>121</v>
      </c>
      <c r="E645" s="281" t="s">
        <v>523</v>
      </c>
      <c r="F645" s="45">
        <v>610</v>
      </c>
      <c r="G645" s="27">
        <v>100000</v>
      </c>
      <c r="H645" s="27">
        <v>100000</v>
      </c>
      <c r="I645" s="146">
        <v>100000</v>
      </c>
      <c r="J645" s="207">
        <f t="shared" si="337"/>
        <v>100</v>
      </c>
      <c r="L645" s="46"/>
      <c r="M645" s="295"/>
      <c r="N645" s="295"/>
      <c r="O645" s="295"/>
    </row>
    <row r="646" spans="1:15" x14ac:dyDescent="0.25">
      <c r="A646" s="276">
        <v>635</v>
      </c>
      <c r="B646" s="282" t="s">
        <v>72</v>
      </c>
      <c r="C646" s="281">
        <v>952</v>
      </c>
      <c r="D646" s="281" t="s">
        <v>122</v>
      </c>
      <c r="E646" s="281"/>
      <c r="F646" s="276"/>
      <c r="G646" s="27">
        <f>G647+G656</f>
        <v>4905304.04</v>
      </c>
      <c r="H646" s="27">
        <f t="shared" ref="H646:I646" si="363">H647+H656</f>
        <v>4905304.04</v>
      </c>
      <c r="I646" s="27">
        <f t="shared" si="363"/>
        <v>4894654.75</v>
      </c>
      <c r="J646" s="207">
        <f t="shared" si="337"/>
        <v>99.782902549706179</v>
      </c>
      <c r="M646" s="295"/>
      <c r="N646" s="295"/>
      <c r="O646" s="295"/>
    </row>
    <row r="647" spans="1:15" x14ac:dyDescent="0.25">
      <c r="A647" s="276">
        <v>636</v>
      </c>
      <c r="B647" s="277" t="s">
        <v>313</v>
      </c>
      <c r="C647" s="281">
        <v>952</v>
      </c>
      <c r="D647" s="281" t="s">
        <v>122</v>
      </c>
      <c r="E647" s="281" t="s">
        <v>187</v>
      </c>
      <c r="F647" s="276"/>
      <c r="G647" s="27">
        <f t="shared" ref="G647:I648" si="364">G648</f>
        <v>4865304.04</v>
      </c>
      <c r="H647" s="27">
        <f t="shared" si="364"/>
        <v>4865304.04</v>
      </c>
      <c r="I647" s="27">
        <f t="shared" si="364"/>
        <v>4856354.75</v>
      </c>
      <c r="J647" s="207">
        <f t="shared" si="337"/>
        <v>99.816058977477596</v>
      </c>
      <c r="M647" s="295"/>
      <c r="N647" s="295"/>
      <c r="O647" s="295"/>
    </row>
    <row r="648" spans="1:15" x14ac:dyDescent="0.25">
      <c r="A648" s="276">
        <v>637</v>
      </c>
      <c r="B648" s="277" t="s">
        <v>65</v>
      </c>
      <c r="C648" s="281">
        <v>952</v>
      </c>
      <c r="D648" s="281" t="s">
        <v>122</v>
      </c>
      <c r="E648" s="281" t="s">
        <v>206</v>
      </c>
      <c r="F648" s="276"/>
      <c r="G648" s="27">
        <f t="shared" si="364"/>
        <v>4865304.04</v>
      </c>
      <c r="H648" s="27">
        <f t="shared" si="364"/>
        <v>4865304.04</v>
      </c>
      <c r="I648" s="27">
        <f t="shared" si="364"/>
        <v>4856354.75</v>
      </c>
      <c r="J648" s="207">
        <f t="shared" si="337"/>
        <v>99.816058977477596</v>
      </c>
      <c r="M648" s="295"/>
      <c r="N648" s="295"/>
      <c r="O648" s="295"/>
    </row>
    <row r="649" spans="1:15" ht="45" x14ac:dyDescent="0.25">
      <c r="A649" s="276">
        <v>638</v>
      </c>
      <c r="B649" s="277" t="s">
        <v>357</v>
      </c>
      <c r="C649" s="281">
        <v>952</v>
      </c>
      <c r="D649" s="281" t="s">
        <v>122</v>
      </c>
      <c r="E649" s="281" t="s">
        <v>207</v>
      </c>
      <c r="F649" s="276"/>
      <c r="G649" s="27">
        <f t="shared" ref="G649" si="365">G650+G652+G654</f>
        <v>4865304.04</v>
      </c>
      <c r="H649" s="27">
        <f t="shared" ref="H649:I649" si="366">H650+H652+H654</f>
        <v>4865304.04</v>
      </c>
      <c r="I649" s="27">
        <f t="shared" si="366"/>
        <v>4856354.75</v>
      </c>
      <c r="J649" s="207">
        <f t="shared" si="337"/>
        <v>99.816058977477596</v>
      </c>
      <c r="M649" s="295"/>
      <c r="N649" s="295"/>
      <c r="O649" s="295"/>
    </row>
    <row r="650" spans="1:15" ht="45" x14ac:dyDescent="0.25">
      <c r="A650" s="276">
        <v>639</v>
      </c>
      <c r="B650" s="282" t="s">
        <v>14</v>
      </c>
      <c r="C650" s="281">
        <v>952</v>
      </c>
      <c r="D650" s="281" t="s">
        <v>122</v>
      </c>
      <c r="E650" s="281" t="s">
        <v>207</v>
      </c>
      <c r="F650" s="276">
        <v>100</v>
      </c>
      <c r="G650" s="27">
        <f t="shared" ref="G650:I650" si="367">G651</f>
        <v>4442876.04</v>
      </c>
      <c r="H650" s="27">
        <f t="shared" si="367"/>
        <v>4442876.04</v>
      </c>
      <c r="I650" s="27">
        <f t="shared" si="367"/>
        <v>4439617.7300000004</v>
      </c>
      <c r="J650" s="207">
        <f t="shared" si="337"/>
        <v>99.926662144730926</v>
      </c>
      <c r="M650" s="295"/>
      <c r="N650" s="295"/>
      <c r="O650" s="295"/>
    </row>
    <row r="651" spans="1:15" x14ac:dyDescent="0.25">
      <c r="A651" s="276">
        <v>640</v>
      </c>
      <c r="B651" s="282" t="s">
        <v>62</v>
      </c>
      <c r="C651" s="281">
        <v>952</v>
      </c>
      <c r="D651" s="281" t="s">
        <v>122</v>
      </c>
      <c r="E651" s="281" t="s">
        <v>207</v>
      </c>
      <c r="F651" s="276">
        <v>110</v>
      </c>
      <c r="G651" s="27">
        <f>4037902.24+310058+94915.8</f>
        <v>4442876.04</v>
      </c>
      <c r="H651" s="27">
        <v>4442876.04</v>
      </c>
      <c r="I651" s="146">
        <v>4439617.7300000004</v>
      </c>
      <c r="J651" s="207">
        <f t="shared" si="337"/>
        <v>99.926662144730926</v>
      </c>
      <c r="M651" s="295"/>
      <c r="N651" s="295"/>
      <c r="O651" s="295"/>
    </row>
    <row r="652" spans="1:15" x14ac:dyDescent="0.25">
      <c r="A652" s="276">
        <v>641</v>
      </c>
      <c r="B652" s="282" t="s">
        <v>19</v>
      </c>
      <c r="C652" s="281">
        <v>952</v>
      </c>
      <c r="D652" s="281" t="s">
        <v>122</v>
      </c>
      <c r="E652" s="281" t="s">
        <v>207</v>
      </c>
      <c r="F652" s="276">
        <v>200</v>
      </c>
      <c r="G652" s="27">
        <f t="shared" ref="G652:I652" si="368">G653</f>
        <v>421928</v>
      </c>
      <c r="H652" s="27">
        <f t="shared" si="368"/>
        <v>421928</v>
      </c>
      <c r="I652" s="27">
        <f t="shared" si="368"/>
        <v>416717</v>
      </c>
      <c r="J652" s="207">
        <f t="shared" si="337"/>
        <v>98.764955158226059</v>
      </c>
      <c r="M652" s="295"/>
      <c r="N652" s="295"/>
      <c r="O652" s="295"/>
    </row>
    <row r="653" spans="1:15" x14ac:dyDescent="0.25">
      <c r="A653" s="276">
        <v>642</v>
      </c>
      <c r="B653" s="282" t="s">
        <v>20</v>
      </c>
      <c r="C653" s="281">
        <v>952</v>
      </c>
      <c r="D653" s="281" t="s">
        <v>122</v>
      </c>
      <c r="E653" s="281" t="s">
        <v>207</v>
      </c>
      <c r="F653" s="276">
        <v>240</v>
      </c>
      <c r="G653" s="27">
        <v>421928</v>
      </c>
      <c r="H653" s="27">
        <v>421928</v>
      </c>
      <c r="I653" s="146">
        <v>416717</v>
      </c>
      <c r="J653" s="207">
        <f t="shared" ref="J653:J710" si="369">I653/H653*100</f>
        <v>98.764955158226059</v>
      </c>
      <c r="M653" s="295"/>
      <c r="N653" s="295"/>
      <c r="O653" s="295"/>
    </row>
    <row r="654" spans="1:15" x14ac:dyDescent="0.25">
      <c r="A654" s="276">
        <v>643</v>
      </c>
      <c r="B654" s="282" t="s">
        <v>31</v>
      </c>
      <c r="C654" s="281">
        <v>952</v>
      </c>
      <c r="D654" s="281" t="s">
        <v>122</v>
      </c>
      <c r="E654" s="281" t="s">
        <v>207</v>
      </c>
      <c r="F654" s="276">
        <v>800</v>
      </c>
      <c r="G654" s="27">
        <f t="shared" ref="G654:I654" si="370">G655</f>
        <v>500</v>
      </c>
      <c r="H654" s="27">
        <f t="shared" si="370"/>
        <v>500</v>
      </c>
      <c r="I654" s="27">
        <f t="shared" si="370"/>
        <v>20.02</v>
      </c>
      <c r="J654" s="207">
        <f t="shared" si="369"/>
        <v>4.0039999999999996</v>
      </c>
      <c r="M654" s="295"/>
      <c r="N654" s="295"/>
      <c r="O654" s="295"/>
    </row>
    <row r="655" spans="1:15" x14ac:dyDescent="0.25">
      <c r="A655" s="276">
        <v>644</v>
      </c>
      <c r="B655" s="282" t="s">
        <v>79</v>
      </c>
      <c r="C655" s="281">
        <v>952</v>
      </c>
      <c r="D655" s="281" t="s">
        <v>122</v>
      </c>
      <c r="E655" s="281" t="s">
        <v>207</v>
      </c>
      <c r="F655" s="276">
        <v>850</v>
      </c>
      <c r="G655" s="27">
        <v>500</v>
      </c>
      <c r="H655" s="27">
        <v>500</v>
      </c>
      <c r="I655" s="146">
        <v>20.02</v>
      </c>
      <c r="J655" s="207">
        <f t="shared" si="369"/>
        <v>4.0039999999999996</v>
      </c>
      <c r="M655" s="295"/>
      <c r="N655" s="295"/>
      <c r="O655" s="295"/>
    </row>
    <row r="656" spans="1:15" x14ac:dyDescent="0.25">
      <c r="A656" s="276">
        <v>645</v>
      </c>
      <c r="B656" s="282" t="s">
        <v>237</v>
      </c>
      <c r="C656" s="281" t="s">
        <v>300</v>
      </c>
      <c r="D656" s="281" t="s">
        <v>451</v>
      </c>
      <c r="E656" s="281" t="s">
        <v>238</v>
      </c>
      <c r="F656" s="276"/>
      <c r="G656" s="27">
        <f>G657</f>
        <v>40000</v>
      </c>
      <c r="H656" s="27">
        <f t="shared" ref="H656:I658" si="371">H657</f>
        <v>40000</v>
      </c>
      <c r="I656" s="27">
        <f t="shared" si="371"/>
        <v>38300</v>
      </c>
      <c r="J656" s="207">
        <f t="shared" si="369"/>
        <v>95.75</v>
      </c>
      <c r="M656" s="295"/>
      <c r="N656" s="295"/>
      <c r="O656" s="295"/>
    </row>
    <row r="657" spans="1:15" ht="55.5" customHeight="1" x14ac:dyDescent="0.25">
      <c r="A657" s="276">
        <v>646</v>
      </c>
      <c r="B657" s="282" t="s">
        <v>452</v>
      </c>
      <c r="C657" s="281" t="s">
        <v>300</v>
      </c>
      <c r="D657" s="281" t="s">
        <v>122</v>
      </c>
      <c r="E657" s="281" t="s">
        <v>453</v>
      </c>
      <c r="F657" s="276"/>
      <c r="G657" s="27">
        <f>G658</f>
        <v>40000</v>
      </c>
      <c r="H657" s="27">
        <f t="shared" si="371"/>
        <v>40000</v>
      </c>
      <c r="I657" s="27">
        <f t="shared" si="371"/>
        <v>38300</v>
      </c>
      <c r="J657" s="207">
        <f t="shared" si="369"/>
        <v>95.75</v>
      </c>
      <c r="M657" s="295"/>
      <c r="N657" s="295"/>
      <c r="O657" s="295"/>
    </row>
    <row r="658" spans="1:15" ht="31.5" x14ac:dyDescent="0.25">
      <c r="A658" s="276">
        <v>647</v>
      </c>
      <c r="B658" s="57" t="s">
        <v>48</v>
      </c>
      <c r="C658" s="281" t="s">
        <v>300</v>
      </c>
      <c r="D658" s="281" t="s">
        <v>122</v>
      </c>
      <c r="E658" s="281" t="s">
        <v>453</v>
      </c>
      <c r="F658" s="276">
        <v>600</v>
      </c>
      <c r="G658" s="27">
        <f>G659</f>
        <v>40000</v>
      </c>
      <c r="H658" s="27">
        <f t="shared" si="371"/>
        <v>40000</v>
      </c>
      <c r="I658" s="27">
        <f t="shared" si="371"/>
        <v>38300</v>
      </c>
      <c r="J658" s="207">
        <f t="shared" si="369"/>
        <v>95.75</v>
      </c>
      <c r="M658" s="295"/>
      <c r="N658" s="295"/>
      <c r="O658" s="295"/>
    </row>
    <row r="659" spans="1:15" ht="15.75" x14ac:dyDescent="0.25">
      <c r="A659" s="276">
        <v>648</v>
      </c>
      <c r="B659" s="57" t="s">
        <v>66</v>
      </c>
      <c r="C659" s="281" t="s">
        <v>300</v>
      </c>
      <c r="D659" s="281" t="s">
        <v>122</v>
      </c>
      <c r="E659" s="281" t="s">
        <v>453</v>
      </c>
      <c r="F659" s="276">
        <v>610</v>
      </c>
      <c r="G659" s="27">
        <v>40000</v>
      </c>
      <c r="H659" s="27">
        <v>40000</v>
      </c>
      <c r="I659" s="146">
        <v>38300</v>
      </c>
      <c r="J659" s="207">
        <f t="shared" si="369"/>
        <v>95.75</v>
      </c>
      <c r="M659" s="295"/>
      <c r="N659" s="295"/>
      <c r="O659" s="295"/>
    </row>
    <row r="660" spans="1:15" ht="15.75" x14ac:dyDescent="0.25">
      <c r="A660" s="276">
        <v>649</v>
      </c>
      <c r="B660" s="278" t="s">
        <v>246</v>
      </c>
      <c r="C660" s="45">
        <v>952</v>
      </c>
      <c r="D660" s="311" t="s">
        <v>248</v>
      </c>
      <c r="E660" s="281"/>
      <c r="F660" s="45"/>
      <c r="G660" s="27">
        <f t="shared" ref="G660:I660" si="372">G661</f>
        <v>120000</v>
      </c>
      <c r="H660" s="27">
        <f t="shared" si="372"/>
        <v>120000</v>
      </c>
      <c r="I660" s="27">
        <f t="shared" si="372"/>
        <v>119999</v>
      </c>
      <c r="J660" s="207">
        <f t="shared" si="369"/>
        <v>99.999166666666667</v>
      </c>
      <c r="M660" s="295"/>
      <c r="N660" s="295"/>
      <c r="O660" s="295"/>
    </row>
    <row r="661" spans="1:15" ht="15.75" x14ac:dyDescent="0.25">
      <c r="A661" s="276">
        <v>650</v>
      </c>
      <c r="B661" s="312" t="s">
        <v>247</v>
      </c>
      <c r="C661" s="45">
        <v>952</v>
      </c>
      <c r="D661" s="311">
        <v>1101</v>
      </c>
      <c r="E661" s="281"/>
      <c r="F661" s="45"/>
      <c r="G661" s="27">
        <f t="shared" ref="G661:I661" si="373">G662</f>
        <v>120000</v>
      </c>
      <c r="H661" s="27">
        <f t="shared" si="373"/>
        <v>120000</v>
      </c>
      <c r="I661" s="27">
        <f t="shared" si="373"/>
        <v>119999</v>
      </c>
      <c r="J661" s="207">
        <f t="shared" si="369"/>
        <v>99.999166666666667</v>
      </c>
      <c r="M661" s="295"/>
      <c r="N661" s="295"/>
      <c r="O661" s="295"/>
    </row>
    <row r="662" spans="1:15" ht="30" x14ac:dyDescent="0.25">
      <c r="A662" s="276">
        <v>651</v>
      </c>
      <c r="B662" s="313" t="s">
        <v>249</v>
      </c>
      <c r="C662" s="281">
        <v>952</v>
      </c>
      <c r="D662" s="281" t="s">
        <v>250</v>
      </c>
      <c r="E662" s="281" t="s">
        <v>355</v>
      </c>
      <c r="F662" s="45"/>
      <c r="G662" s="27">
        <f t="shared" ref="G662" si="374">G663+G667</f>
        <v>120000</v>
      </c>
      <c r="H662" s="27">
        <f t="shared" ref="H662:I662" si="375">H663+H667</f>
        <v>120000</v>
      </c>
      <c r="I662" s="27">
        <f t="shared" si="375"/>
        <v>119999</v>
      </c>
      <c r="J662" s="207">
        <f t="shared" si="369"/>
        <v>99.999166666666667</v>
      </c>
      <c r="M662" s="295"/>
      <c r="N662" s="295"/>
      <c r="O662" s="295"/>
    </row>
    <row r="663" spans="1:15" ht="30" x14ac:dyDescent="0.25">
      <c r="A663" s="276">
        <v>652</v>
      </c>
      <c r="B663" s="279" t="s">
        <v>310</v>
      </c>
      <c r="C663" s="45">
        <v>952</v>
      </c>
      <c r="D663" s="311" t="s">
        <v>250</v>
      </c>
      <c r="E663" s="281" t="s">
        <v>349</v>
      </c>
      <c r="F663" s="45"/>
      <c r="G663" s="27">
        <f t="shared" ref="G663:I663" si="376">G664</f>
        <v>30000</v>
      </c>
      <c r="H663" s="27">
        <f t="shared" si="376"/>
        <v>30000</v>
      </c>
      <c r="I663" s="27">
        <f t="shared" si="376"/>
        <v>29999</v>
      </c>
      <c r="J663" s="207">
        <f t="shared" si="369"/>
        <v>99.99666666666667</v>
      </c>
      <c r="M663" s="295"/>
      <c r="N663" s="295"/>
      <c r="O663" s="295"/>
    </row>
    <row r="664" spans="1:15" ht="60" x14ac:dyDescent="0.25">
      <c r="A664" s="276">
        <v>653</v>
      </c>
      <c r="B664" s="279" t="s">
        <v>353</v>
      </c>
      <c r="C664" s="45">
        <v>952</v>
      </c>
      <c r="D664" s="311" t="s">
        <v>250</v>
      </c>
      <c r="E664" s="281" t="s">
        <v>350</v>
      </c>
      <c r="F664" s="45"/>
      <c r="G664" s="27">
        <f t="shared" ref="G664:I665" si="377">G665</f>
        <v>30000</v>
      </c>
      <c r="H664" s="27">
        <f t="shared" si="377"/>
        <v>30000</v>
      </c>
      <c r="I664" s="27">
        <f t="shared" si="377"/>
        <v>29999</v>
      </c>
      <c r="J664" s="207">
        <f t="shared" si="369"/>
        <v>99.99666666666667</v>
      </c>
      <c r="M664" s="295"/>
      <c r="N664" s="295"/>
      <c r="O664" s="295"/>
    </row>
    <row r="665" spans="1:15" ht="31.5" x14ac:dyDescent="0.25">
      <c r="A665" s="276">
        <v>654</v>
      </c>
      <c r="B665" s="57" t="s">
        <v>48</v>
      </c>
      <c r="C665" s="45">
        <v>952</v>
      </c>
      <c r="D665" s="311" t="s">
        <v>250</v>
      </c>
      <c r="E665" s="281" t="s">
        <v>350</v>
      </c>
      <c r="F665" s="45">
        <v>600</v>
      </c>
      <c r="G665" s="27">
        <f t="shared" ref="G665" si="378">G666</f>
        <v>30000</v>
      </c>
      <c r="H665" s="27">
        <f t="shared" si="377"/>
        <v>30000</v>
      </c>
      <c r="I665" s="27">
        <f t="shared" si="377"/>
        <v>29999</v>
      </c>
      <c r="J665" s="207">
        <f t="shared" si="369"/>
        <v>99.99666666666667</v>
      </c>
      <c r="M665" s="295"/>
      <c r="N665" s="295"/>
      <c r="O665" s="295"/>
    </row>
    <row r="666" spans="1:15" ht="15.75" x14ac:dyDescent="0.25">
      <c r="A666" s="276">
        <v>655</v>
      </c>
      <c r="B666" s="57" t="s">
        <v>66</v>
      </c>
      <c r="C666" s="45">
        <v>952</v>
      </c>
      <c r="D666" s="311" t="s">
        <v>250</v>
      </c>
      <c r="E666" s="281" t="s">
        <v>350</v>
      </c>
      <c r="F666" s="45">
        <v>610</v>
      </c>
      <c r="G666" s="27">
        <v>30000</v>
      </c>
      <c r="H666" s="27">
        <v>30000</v>
      </c>
      <c r="I666" s="146">
        <v>29999</v>
      </c>
      <c r="J666" s="207">
        <f t="shared" si="369"/>
        <v>99.99666666666667</v>
      </c>
      <c r="M666" s="295"/>
      <c r="N666" s="295"/>
      <c r="O666" s="295"/>
    </row>
    <row r="667" spans="1:15" ht="31.5" x14ac:dyDescent="0.25">
      <c r="A667" s="276">
        <v>656</v>
      </c>
      <c r="B667" s="278" t="s">
        <v>311</v>
      </c>
      <c r="C667" s="45">
        <v>952</v>
      </c>
      <c r="D667" s="311" t="s">
        <v>250</v>
      </c>
      <c r="E667" s="281" t="s">
        <v>351</v>
      </c>
      <c r="F667" s="45"/>
      <c r="G667" s="27">
        <f t="shared" ref="G667:I669" si="379">G668</f>
        <v>90000</v>
      </c>
      <c r="H667" s="27">
        <f t="shared" si="379"/>
        <v>90000</v>
      </c>
      <c r="I667" s="27">
        <f t="shared" si="379"/>
        <v>90000</v>
      </c>
      <c r="J667" s="207">
        <f t="shared" si="369"/>
        <v>100</v>
      </c>
      <c r="M667" s="295"/>
      <c r="N667" s="295"/>
      <c r="O667" s="295"/>
    </row>
    <row r="668" spans="1:15" ht="78.75" x14ac:dyDescent="0.25">
      <c r="A668" s="276">
        <v>657</v>
      </c>
      <c r="B668" s="278" t="s">
        <v>354</v>
      </c>
      <c r="C668" s="45">
        <v>952</v>
      </c>
      <c r="D668" s="311" t="s">
        <v>250</v>
      </c>
      <c r="E668" s="281" t="s">
        <v>352</v>
      </c>
      <c r="F668" s="45"/>
      <c r="G668" s="27">
        <f t="shared" si="379"/>
        <v>90000</v>
      </c>
      <c r="H668" s="27">
        <f t="shared" si="379"/>
        <v>90000</v>
      </c>
      <c r="I668" s="27">
        <f t="shared" si="379"/>
        <v>90000</v>
      </c>
      <c r="J668" s="207">
        <f t="shared" si="369"/>
        <v>100</v>
      </c>
      <c r="M668" s="295"/>
      <c r="N668" s="295"/>
      <c r="O668" s="295"/>
    </row>
    <row r="669" spans="1:15" ht="31.5" x14ac:dyDescent="0.25">
      <c r="A669" s="276">
        <v>658</v>
      </c>
      <c r="B669" s="57" t="s">
        <v>48</v>
      </c>
      <c r="C669" s="45">
        <v>952</v>
      </c>
      <c r="D669" s="311" t="s">
        <v>250</v>
      </c>
      <c r="E669" s="281" t="s">
        <v>352</v>
      </c>
      <c r="F669" s="45">
        <v>600</v>
      </c>
      <c r="G669" s="27">
        <f t="shared" si="379"/>
        <v>90000</v>
      </c>
      <c r="H669" s="27">
        <f t="shared" si="379"/>
        <v>90000</v>
      </c>
      <c r="I669" s="27">
        <f t="shared" si="379"/>
        <v>90000</v>
      </c>
      <c r="J669" s="207">
        <f t="shared" si="369"/>
        <v>100</v>
      </c>
      <c r="M669" s="295"/>
      <c r="N669" s="295"/>
      <c r="O669" s="295"/>
    </row>
    <row r="670" spans="1:15" ht="15.75" x14ac:dyDescent="0.25">
      <c r="A670" s="276">
        <v>659</v>
      </c>
      <c r="B670" s="57" t="s">
        <v>66</v>
      </c>
      <c r="C670" s="45">
        <v>952</v>
      </c>
      <c r="D670" s="311" t="s">
        <v>250</v>
      </c>
      <c r="E670" s="281" t="s">
        <v>352</v>
      </c>
      <c r="F670" s="45">
        <v>610</v>
      </c>
      <c r="G670" s="27">
        <v>90000</v>
      </c>
      <c r="H670" s="27">
        <v>90000</v>
      </c>
      <c r="I670" s="146">
        <v>90000</v>
      </c>
      <c r="J670" s="207">
        <f t="shared" si="369"/>
        <v>100</v>
      </c>
      <c r="M670" s="295"/>
      <c r="N670" s="295"/>
      <c r="O670" s="295"/>
    </row>
    <row r="671" spans="1:15" ht="30" customHeight="1" x14ac:dyDescent="0.25">
      <c r="A671" s="276">
        <v>660</v>
      </c>
      <c r="B671" s="302" t="s">
        <v>235</v>
      </c>
      <c r="C671" s="42">
        <v>955</v>
      </c>
      <c r="D671" s="41"/>
      <c r="E671" s="42"/>
      <c r="F671" s="41"/>
      <c r="G671" s="44">
        <f t="shared" ref="G671:I674" si="380">G672</f>
        <v>4836874.0399999991</v>
      </c>
      <c r="H671" s="44">
        <f t="shared" si="380"/>
        <v>4836874.04</v>
      </c>
      <c r="I671" s="44">
        <f t="shared" si="380"/>
        <v>4789509.51</v>
      </c>
      <c r="J671" s="207">
        <f t="shared" si="369"/>
        <v>99.020761557809749</v>
      </c>
      <c r="M671" s="295"/>
      <c r="N671" s="295"/>
      <c r="O671" s="295"/>
    </row>
    <row r="672" spans="1:15" x14ac:dyDescent="0.25">
      <c r="A672" s="276">
        <v>661</v>
      </c>
      <c r="B672" s="298" t="s">
        <v>84</v>
      </c>
      <c r="C672" s="281">
        <v>955</v>
      </c>
      <c r="D672" s="281" t="s">
        <v>85</v>
      </c>
      <c r="E672" s="281"/>
      <c r="F672" s="276"/>
      <c r="G672" s="27">
        <f t="shared" si="380"/>
        <v>4836874.0399999991</v>
      </c>
      <c r="H672" s="27">
        <f t="shared" si="380"/>
        <v>4836874.04</v>
      </c>
      <c r="I672" s="27">
        <f t="shared" si="380"/>
        <v>4789509.51</v>
      </c>
      <c r="J672" s="207">
        <f t="shared" si="369"/>
        <v>99.020761557809749</v>
      </c>
      <c r="M672" s="295"/>
      <c r="N672" s="295"/>
      <c r="O672" s="295"/>
    </row>
    <row r="673" spans="1:15" ht="30" x14ac:dyDescent="0.25">
      <c r="A673" s="276">
        <v>662</v>
      </c>
      <c r="B673" s="282" t="s">
        <v>11</v>
      </c>
      <c r="C673" s="281">
        <v>955</v>
      </c>
      <c r="D673" s="281" t="s">
        <v>91</v>
      </c>
      <c r="E673" s="281"/>
      <c r="F673" s="276"/>
      <c r="G673" s="27">
        <f t="shared" si="380"/>
        <v>4836874.0399999991</v>
      </c>
      <c r="H673" s="27">
        <f t="shared" si="380"/>
        <v>4836874.04</v>
      </c>
      <c r="I673" s="27">
        <f t="shared" si="380"/>
        <v>4789509.51</v>
      </c>
      <c r="J673" s="207">
        <f t="shared" si="369"/>
        <v>99.020761557809749</v>
      </c>
      <c r="M673" s="295"/>
      <c r="N673" s="295"/>
      <c r="O673" s="295"/>
    </row>
    <row r="674" spans="1:15" x14ac:dyDescent="0.25">
      <c r="A674" s="276">
        <v>663</v>
      </c>
      <c r="B674" s="282" t="s">
        <v>273</v>
      </c>
      <c r="C674" s="281">
        <v>955</v>
      </c>
      <c r="D674" s="281" t="s">
        <v>91</v>
      </c>
      <c r="E674" s="281">
        <v>8200000000</v>
      </c>
      <c r="F674" s="276"/>
      <c r="G674" s="27">
        <f t="shared" si="380"/>
        <v>4836874.0399999991</v>
      </c>
      <c r="H674" s="27">
        <f t="shared" si="380"/>
        <v>4836874.04</v>
      </c>
      <c r="I674" s="27">
        <f t="shared" si="380"/>
        <v>4789509.51</v>
      </c>
      <c r="J674" s="207">
        <f t="shared" si="369"/>
        <v>99.020761557809749</v>
      </c>
      <c r="M674" s="295"/>
      <c r="N674" s="295"/>
      <c r="O674" s="295"/>
    </row>
    <row r="675" spans="1:15" x14ac:dyDescent="0.25">
      <c r="A675" s="276">
        <v>664</v>
      </c>
      <c r="B675" s="283" t="s">
        <v>274</v>
      </c>
      <c r="C675" s="281">
        <v>955</v>
      </c>
      <c r="D675" s="281" t="s">
        <v>91</v>
      </c>
      <c r="E675" s="281">
        <v>8210000000</v>
      </c>
      <c r="F675" s="276"/>
      <c r="G675" s="27">
        <f>G676+G683+G686</f>
        <v>4836874.0399999991</v>
      </c>
      <c r="H675" s="27">
        <f t="shared" ref="H675:I675" si="381">H676+H683+H686</f>
        <v>4836874.04</v>
      </c>
      <c r="I675" s="27">
        <f t="shared" si="381"/>
        <v>4789509.51</v>
      </c>
      <c r="J675" s="207">
        <f t="shared" si="369"/>
        <v>99.020761557809749</v>
      </c>
      <c r="M675" s="295"/>
      <c r="N675" s="295"/>
      <c r="O675" s="295"/>
    </row>
    <row r="676" spans="1:15" x14ac:dyDescent="0.25">
      <c r="A676" s="276">
        <v>665</v>
      </c>
      <c r="B676" s="282" t="s">
        <v>74</v>
      </c>
      <c r="C676" s="281">
        <v>955</v>
      </c>
      <c r="D676" s="281" t="s">
        <v>91</v>
      </c>
      <c r="E676" s="281">
        <v>8210000210</v>
      </c>
      <c r="F676" s="276"/>
      <c r="G676" s="27">
        <f t="shared" ref="G676:I676" si="382">G677+G679+G681</f>
        <v>2898445.2999999993</v>
      </c>
      <c r="H676" s="27">
        <f t="shared" si="382"/>
        <v>2898445.3</v>
      </c>
      <c r="I676" s="27">
        <f t="shared" si="382"/>
        <v>2851080.77</v>
      </c>
      <c r="J676" s="207">
        <f t="shared" si="369"/>
        <v>98.365864279032635</v>
      </c>
      <c r="M676" s="295"/>
      <c r="N676" s="295"/>
      <c r="O676" s="295"/>
    </row>
    <row r="677" spans="1:15" ht="45" x14ac:dyDescent="0.25">
      <c r="A677" s="276">
        <v>666</v>
      </c>
      <c r="B677" s="282" t="s">
        <v>14</v>
      </c>
      <c r="C677" s="281">
        <v>955</v>
      </c>
      <c r="D677" s="281" t="s">
        <v>91</v>
      </c>
      <c r="E677" s="281">
        <v>8210000210</v>
      </c>
      <c r="F677" s="276">
        <v>100</v>
      </c>
      <c r="G677" s="27">
        <f t="shared" ref="G677:I677" si="383">G678</f>
        <v>2635802.4799999995</v>
      </c>
      <c r="H677" s="27">
        <f t="shared" si="383"/>
        <v>2635802.48</v>
      </c>
      <c r="I677" s="27">
        <f t="shared" si="383"/>
        <v>2589147.9500000002</v>
      </c>
      <c r="J677" s="207">
        <f t="shared" si="369"/>
        <v>98.229968658349549</v>
      </c>
      <c r="M677" s="295"/>
      <c r="N677" s="295"/>
      <c r="O677" s="295"/>
    </row>
    <row r="678" spans="1:15" x14ac:dyDescent="0.25">
      <c r="A678" s="276">
        <v>667</v>
      </c>
      <c r="B678" s="282" t="s">
        <v>15</v>
      </c>
      <c r="C678" s="281">
        <v>955</v>
      </c>
      <c r="D678" s="281" t="s">
        <v>91</v>
      </c>
      <c r="E678" s="281">
        <v>8210000210</v>
      </c>
      <c r="F678" s="276">
        <v>120</v>
      </c>
      <c r="G678" s="27">
        <f>2467063.28-483782+126554.8+483782+42184.4</f>
        <v>2635802.4799999995</v>
      </c>
      <c r="H678" s="27">
        <v>2635802.48</v>
      </c>
      <c r="I678" s="146">
        <v>2589147.9500000002</v>
      </c>
      <c r="J678" s="207">
        <f t="shared" si="369"/>
        <v>98.229968658349549</v>
      </c>
      <c r="M678" s="295"/>
      <c r="N678" s="295"/>
      <c r="O678" s="295"/>
    </row>
    <row r="679" spans="1:15" x14ac:dyDescent="0.25">
      <c r="A679" s="276">
        <v>668</v>
      </c>
      <c r="B679" s="282" t="s">
        <v>19</v>
      </c>
      <c r="C679" s="281">
        <v>955</v>
      </c>
      <c r="D679" s="281" t="s">
        <v>91</v>
      </c>
      <c r="E679" s="281">
        <v>8210000210</v>
      </c>
      <c r="F679" s="276">
        <v>200</v>
      </c>
      <c r="G679" s="27">
        <f t="shared" ref="G679:I679" si="384">G680</f>
        <v>262142.82</v>
      </c>
      <c r="H679" s="27">
        <f t="shared" si="384"/>
        <v>262142.82</v>
      </c>
      <c r="I679" s="27">
        <f t="shared" si="384"/>
        <v>261932.82</v>
      </c>
      <c r="J679" s="207">
        <f t="shared" si="369"/>
        <v>99.919890996823796</v>
      </c>
      <c r="M679" s="295"/>
      <c r="N679" s="295"/>
      <c r="O679" s="295"/>
    </row>
    <row r="680" spans="1:15" x14ac:dyDescent="0.25">
      <c r="A680" s="276">
        <v>669</v>
      </c>
      <c r="B680" s="282" t="s">
        <v>20</v>
      </c>
      <c r="C680" s="281">
        <v>955</v>
      </c>
      <c r="D680" s="281" t="s">
        <v>91</v>
      </c>
      <c r="E680" s="281">
        <v>8210000210</v>
      </c>
      <c r="F680" s="276">
        <v>240</v>
      </c>
      <c r="G680" s="27">
        <v>262142.82</v>
      </c>
      <c r="H680" s="27">
        <v>262142.82</v>
      </c>
      <c r="I680" s="146">
        <v>261932.82</v>
      </c>
      <c r="J680" s="207">
        <f t="shared" si="369"/>
        <v>99.919890996823796</v>
      </c>
      <c r="M680" s="295"/>
      <c r="N680" s="295"/>
      <c r="O680" s="295"/>
    </row>
    <row r="681" spans="1:15" x14ac:dyDescent="0.25">
      <c r="A681" s="276">
        <v>670</v>
      </c>
      <c r="B681" s="282" t="s">
        <v>31</v>
      </c>
      <c r="C681" s="281">
        <v>955</v>
      </c>
      <c r="D681" s="281" t="s">
        <v>91</v>
      </c>
      <c r="E681" s="281">
        <v>8210000210</v>
      </c>
      <c r="F681" s="276">
        <v>800</v>
      </c>
      <c r="G681" s="27">
        <f t="shared" ref="G681:I681" si="385">G682</f>
        <v>500</v>
      </c>
      <c r="H681" s="27">
        <f t="shared" si="385"/>
        <v>500</v>
      </c>
      <c r="I681" s="27">
        <f t="shared" si="385"/>
        <v>0</v>
      </c>
      <c r="J681" s="207">
        <f t="shared" si="369"/>
        <v>0</v>
      </c>
      <c r="M681" s="295"/>
      <c r="N681" s="295"/>
      <c r="O681" s="295"/>
    </row>
    <row r="682" spans="1:15" x14ac:dyDescent="0.25">
      <c r="A682" s="276">
        <v>671</v>
      </c>
      <c r="B682" s="282" t="s">
        <v>79</v>
      </c>
      <c r="C682" s="281">
        <v>955</v>
      </c>
      <c r="D682" s="281" t="s">
        <v>91</v>
      </c>
      <c r="E682" s="281">
        <v>8210000210</v>
      </c>
      <c r="F682" s="276">
        <v>850</v>
      </c>
      <c r="G682" s="27">
        <v>500</v>
      </c>
      <c r="H682" s="27">
        <v>500</v>
      </c>
      <c r="I682" s="27">
        <v>0</v>
      </c>
      <c r="J682" s="207">
        <f t="shared" si="369"/>
        <v>0</v>
      </c>
      <c r="M682" s="295"/>
      <c r="N682" s="295"/>
      <c r="O682" s="295"/>
    </row>
    <row r="683" spans="1:15" x14ac:dyDescent="0.25">
      <c r="A683" s="276">
        <v>672</v>
      </c>
      <c r="B683" s="283" t="s">
        <v>444</v>
      </c>
      <c r="C683" s="281">
        <v>955</v>
      </c>
      <c r="D683" s="281" t="s">
        <v>91</v>
      </c>
      <c r="E683" s="281" t="s">
        <v>587</v>
      </c>
      <c r="F683" s="276"/>
      <c r="G683" s="27">
        <f t="shared" ref="G683:I684" si="386">G684</f>
        <v>1510217.74</v>
      </c>
      <c r="H683" s="27">
        <f t="shared" si="386"/>
        <v>1510217.74</v>
      </c>
      <c r="I683" s="27">
        <f t="shared" si="386"/>
        <v>1510217.74</v>
      </c>
      <c r="J683" s="207">
        <f t="shared" si="369"/>
        <v>100</v>
      </c>
      <c r="M683" s="295"/>
      <c r="N683" s="295"/>
      <c r="O683" s="295"/>
    </row>
    <row r="684" spans="1:15" ht="45" x14ac:dyDescent="0.25">
      <c r="A684" s="276">
        <v>673</v>
      </c>
      <c r="B684" s="282" t="s">
        <v>14</v>
      </c>
      <c r="C684" s="281">
        <v>955</v>
      </c>
      <c r="D684" s="281" t="s">
        <v>91</v>
      </c>
      <c r="E684" s="281">
        <v>8210000250</v>
      </c>
      <c r="F684" s="276">
        <v>100</v>
      </c>
      <c r="G684" s="27">
        <f t="shared" si="386"/>
        <v>1510217.74</v>
      </c>
      <c r="H684" s="27">
        <f t="shared" si="386"/>
        <v>1510217.74</v>
      </c>
      <c r="I684" s="27">
        <f t="shared" si="386"/>
        <v>1510217.74</v>
      </c>
      <c r="J684" s="207">
        <f t="shared" si="369"/>
        <v>100</v>
      </c>
      <c r="M684" s="295"/>
      <c r="N684" s="295"/>
      <c r="O684" s="295"/>
    </row>
    <row r="685" spans="1:15" x14ac:dyDescent="0.25">
      <c r="A685" s="276">
        <v>674</v>
      </c>
      <c r="B685" s="282" t="s">
        <v>15</v>
      </c>
      <c r="C685" s="281">
        <v>955</v>
      </c>
      <c r="D685" s="281" t="s">
        <v>91</v>
      </c>
      <c r="E685" s="281">
        <v>8210000250</v>
      </c>
      <c r="F685" s="276">
        <v>120</v>
      </c>
      <c r="G685" s="27">
        <f>1380033.55+63277.2+21092.4+45814.59</f>
        <v>1510217.74</v>
      </c>
      <c r="H685" s="27">
        <v>1510217.74</v>
      </c>
      <c r="I685" s="146">
        <v>1510217.74</v>
      </c>
      <c r="J685" s="207">
        <f t="shared" si="369"/>
        <v>100</v>
      </c>
      <c r="M685" s="295"/>
      <c r="N685" s="295"/>
      <c r="O685" s="295"/>
    </row>
    <row r="686" spans="1:15" ht="30" x14ac:dyDescent="0.25">
      <c r="A686" s="276">
        <v>675</v>
      </c>
      <c r="B686" s="282" t="s">
        <v>484</v>
      </c>
      <c r="C686" s="281" t="s">
        <v>485</v>
      </c>
      <c r="D686" s="281" t="s">
        <v>91</v>
      </c>
      <c r="E686" s="281" t="s">
        <v>486</v>
      </c>
      <c r="F686" s="276"/>
      <c r="G686" s="27">
        <f>G687</f>
        <v>428211</v>
      </c>
      <c r="H686" s="27">
        <f t="shared" ref="H686:I686" si="387">H687</f>
        <v>428211</v>
      </c>
      <c r="I686" s="27">
        <f t="shared" si="387"/>
        <v>428211</v>
      </c>
      <c r="J686" s="207">
        <f t="shared" si="369"/>
        <v>100</v>
      </c>
      <c r="M686" s="295"/>
      <c r="N686" s="295"/>
      <c r="O686" s="295"/>
    </row>
    <row r="687" spans="1:15" x14ac:dyDescent="0.25">
      <c r="A687" s="276">
        <v>676</v>
      </c>
      <c r="B687" s="282" t="s">
        <v>508</v>
      </c>
      <c r="C687" s="281" t="s">
        <v>485</v>
      </c>
      <c r="D687" s="281" t="s">
        <v>91</v>
      </c>
      <c r="E687" s="281" t="s">
        <v>486</v>
      </c>
      <c r="F687" s="276">
        <v>200</v>
      </c>
      <c r="G687" s="27">
        <f>G688</f>
        <v>428211</v>
      </c>
      <c r="H687" s="27">
        <f>H688</f>
        <v>428211</v>
      </c>
      <c r="I687" s="146">
        <f>I688</f>
        <v>428211</v>
      </c>
      <c r="J687" s="207">
        <f t="shared" si="369"/>
        <v>100</v>
      </c>
      <c r="M687" s="295"/>
      <c r="N687" s="295"/>
      <c r="O687" s="295"/>
    </row>
    <row r="688" spans="1:15" ht="23.25" customHeight="1" x14ac:dyDescent="0.25">
      <c r="A688" s="276">
        <v>677</v>
      </c>
      <c r="B688" s="282" t="s">
        <v>509</v>
      </c>
      <c r="C688" s="281" t="s">
        <v>485</v>
      </c>
      <c r="D688" s="281" t="s">
        <v>91</v>
      </c>
      <c r="E688" s="281" t="s">
        <v>486</v>
      </c>
      <c r="F688" s="276">
        <v>240</v>
      </c>
      <c r="G688" s="27">
        <f>483782-55571</f>
        <v>428211</v>
      </c>
      <c r="H688" s="27">
        <f>483782-55571</f>
        <v>428211</v>
      </c>
      <c r="I688" s="146">
        <v>428211</v>
      </c>
      <c r="J688" s="207">
        <f t="shared" si="369"/>
        <v>100</v>
      </c>
      <c r="M688" s="295"/>
      <c r="N688" s="295"/>
      <c r="O688" s="295"/>
    </row>
    <row r="689" spans="1:15" ht="33.75" customHeight="1" x14ac:dyDescent="0.25">
      <c r="A689" s="276">
        <v>678</v>
      </c>
      <c r="B689" s="302" t="s">
        <v>236</v>
      </c>
      <c r="C689" s="42">
        <v>957</v>
      </c>
      <c r="D689" s="41"/>
      <c r="E689" s="42"/>
      <c r="F689" s="41"/>
      <c r="G689" s="44">
        <f t="shared" ref="G689:I690" si="388">G690</f>
        <v>6415409.4999999991</v>
      </c>
      <c r="H689" s="44">
        <f t="shared" si="388"/>
        <v>6415409.5</v>
      </c>
      <c r="I689" s="44">
        <f t="shared" si="388"/>
        <v>6225124.8399999999</v>
      </c>
      <c r="J689" s="207">
        <f t="shared" si="369"/>
        <v>97.033943663300064</v>
      </c>
      <c r="M689" s="295"/>
      <c r="N689" s="295"/>
      <c r="O689" s="295"/>
    </row>
    <row r="690" spans="1:15" x14ac:dyDescent="0.25">
      <c r="A690" s="276">
        <v>679</v>
      </c>
      <c r="B690" s="298" t="s">
        <v>84</v>
      </c>
      <c r="C690" s="281">
        <v>957</v>
      </c>
      <c r="D690" s="281" t="s">
        <v>85</v>
      </c>
      <c r="E690" s="281"/>
      <c r="F690" s="276"/>
      <c r="G690" s="27">
        <f t="shared" si="388"/>
        <v>6415409.4999999991</v>
      </c>
      <c r="H690" s="27">
        <f t="shared" si="388"/>
        <v>6415409.5</v>
      </c>
      <c r="I690" s="27">
        <f t="shared" si="388"/>
        <v>6225124.8399999999</v>
      </c>
      <c r="J690" s="207">
        <f t="shared" si="369"/>
        <v>97.033943663300064</v>
      </c>
      <c r="M690" s="295"/>
      <c r="N690" s="295"/>
      <c r="O690" s="295"/>
    </row>
    <row r="691" spans="1:15" ht="30" x14ac:dyDescent="0.25">
      <c r="A691" s="276">
        <v>680</v>
      </c>
      <c r="B691" s="282" t="s">
        <v>88</v>
      </c>
      <c r="C691" s="281">
        <v>957</v>
      </c>
      <c r="D691" s="281" t="s">
        <v>89</v>
      </c>
      <c r="E691" s="281"/>
      <c r="F691" s="276"/>
      <c r="G691" s="27">
        <f t="shared" ref="G691:I692" si="389">G692</f>
        <v>6415409.4999999991</v>
      </c>
      <c r="H691" s="27">
        <f t="shared" si="389"/>
        <v>6415409.5</v>
      </c>
      <c r="I691" s="27">
        <f t="shared" si="389"/>
        <v>6225124.8399999999</v>
      </c>
      <c r="J691" s="207">
        <f t="shared" si="369"/>
        <v>97.033943663300064</v>
      </c>
      <c r="M691" s="295"/>
      <c r="N691" s="295"/>
      <c r="O691" s="295"/>
    </row>
    <row r="692" spans="1:15" x14ac:dyDescent="0.25">
      <c r="A692" s="276">
        <v>681</v>
      </c>
      <c r="B692" s="282" t="s">
        <v>316</v>
      </c>
      <c r="C692" s="281">
        <v>957</v>
      </c>
      <c r="D692" s="281" t="s">
        <v>89</v>
      </c>
      <c r="E692" s="281">
        <v>8100000000</v>
      </c>
      <c r="F692" s="276"/>
      <c r="G692" s="27">
        <f t="shared" si="389"/>
        <v>6415409.4999999991</v>
      </c>
      <c r="H692" s="27">
        <f t="shared" si="389"/>
        <v>6415409.5</v>
      </c>
      <c r="I692" s="27">
        <f t="shared" si="389"/>
        <v>6225124.8399999999</v>
      </c>
      <c r="J692" s="207">
        <f t="shared" si="369"/>
        <v>97.033943663300064</v>
      </c>
      <c r="M692" s="295"/>
      <c r="N692" s="295"/>
      <c r="O692" s="295"/>
    </row>
    <row r="693" spans="1:15" x14ac:dyDescent="0.25">
      <c r="A693" s="276">
        <v>682</v>
      </c>
      <c r="B693" s="283" t="s">
        <v>275</v>
      </c>
      <c r="C693" s="281">
        <v>957</v>
      </c>
      <c r="D693" s="281" t="s">
        <v>89</v>
      </c>
      <c r="E693" s="281">
        <v>8110000000</v>
      </c>
      <c r="F693" s="276"/>
      <c r="G693" s="27">
        <f t="shared" ref="G693:H693" si="390">G694+G704+G707+G701</f>
        <v>6415409.4999999991</v>
      </c>
      <c r="H693" s="27">
        <f t="shared" si="390"/>
        <v>6415409.5</v>
      </c>
      <c r="I693" s="27">
        <f t="shared" ref="I693" si="391">I694+I704+I707+I701</f>
        <v>6225124.8399999999</v>
      </c>
      <c r="J693" s="207">
        <f t="shared" si="369"/>
        <v>97.033943663300064</v>
      </c>
      <c r="M693" s="295"/>
      <c r="N693" s="295"/>
      <c r="O693" s="295"/>
    </row>
    <row r="694" spans="1:15" ht="45" x14ac:dyDescent="0.25">
      <c r="A694" s="276">
        <v>683</v>
      </c>
      <c r="B694" s="277" t="s">
        <v>319</v>
      </c>
      <c r="C694" s="281">
        <v>957</v>
      </c>
      <c r="D694" s="281" t="s">
        <v>89</v>
      </c>
      <c r="E694" s="281">
        <v>8110000210</v>
      </c>
      <c r="F694" s="276"/>
      <c r="G694" s="27">
        <f>G695+G697+G699</f>
        <v>3054756.07</v>
      </c>
      <c r="H694" s="27">
        <f t="shared" ref="H694:I694" si="392">H695+H697+H699</f>
        <v>3054756.07</v>
      </c>
      <c r="I694" s="27">
        <f t="shared" si="392"/>
        <v>2947653.1300000004</v>
      </c>
      <c r="J694" s="207">
        <f t="shared" si="369"/>
        <v>96.493895501122623</v>
      </c>
      <c r="M694" s="295"/>
      <c r="N694" s="295"/>
      <c r="O694" s="295"/>
    </row>
    <row r="695" spans="1:15" ht="45" x14ac:dyDescent="0.25">
      <c r="A695" s="276">
        <v>684</v>
      </c>
      <c r="B695" s="282" t="s">
        <v>14</v>
      </c>
      <c r="C695" s="281">
        <v>957</v>
      </c>
      <c r="D695" s="281" t="s">
        <v>89</v>
      </c>
      <c r="E695" s="281" t="s">
        <v>586</v>
      </c>
      <c r="F695" s="276">
        <v>100</v>
      </c>
      <c r="G695" s="27">
        <f t="shared" ref="G695:I695" si="393">G696</f>
        <v>2527346.0699999998</v>
      </c>
      <c r="H695" s="27">
        <f t="shared" si="393"/>
        <v>2527346.0699999998</v>
      </c>
      <c r="I695" s="27">
        <f t="shared" si="393"/>
        <v>2423767.4700000002</v>
      </c>
      <c r="J695" s="207">
        <f t="shared" si="369"/>
        <v>95.901685122212029</v>
      </c>
      <c r="M695" s="295"/>
      <c r="N695" s="295"/>
      <c r="O695" s="295"/>
    </row>
    <row r="696" spans="1:15" x14ac:dyDescent="0.25">
      <c r="A696" s="276">
        <v>685</v>
      </c>
      <c r="B696" s="282" t="s">
        <v>15</v>
      </c>
      <c r="C696" s="281">
        <v>957</v>
      </c>
      <c r="D696" s="281" t="s">
        <v>89</v>
      </c>
      <c r="E696" s="281">
        <v>8110000210</v>
      </c>
      <c r="F696" s="276">
        <v>120</v>
      </c>
      <c r="G696" s="27">
        <f>2388606.87+126554.4+42184.8-30000</f>
        <v>2527346.0699999998</v>
      </c>
      <c r="H696" s="27">
        <v>2527346.0699999998</v>
      </c>
      <c r="I696" s="27">
        <v>2423767.4700000002</v>
      </c>
      <c r="J696" s="207">
        <f t="shared" si="369"/>
        <v>95.901685122212029</v>
      </c>
      <c r="M696" s="295"/>
      <c r="N696" s="295"/>
      <c r="O696" s="295"/>
    </row>
    <row r="697" spans="1:15" x14ac:dyDescent="0.25">
      <c r="A697" s="276">
        <v>686</v>
      </c>
      <c r="B697" s="282" t="s">
        <v>19</v>
      </c>
      <c r="C697" s="281">
        <v>957</v>
      </c>
      <c r="D697" s="281" t="s">
        <v>89</v>
      </c>
      <c r="E697" s="281">
        <v>8110000210</v>
      </c>
      <c r="F697" s="276">
        <v>200</v>
      </c>
      <c r="G697" s="27">
        <f t="shared" ref="G697:I697" si="394">G698</f>
        <v>526910</v>
      </c>
      <c r="H697" s="27">
        <f t="shared" si="394"/>
        <v>526910</v>
      </c>
      <c r="I697" s="27">
        <f t="shared" si="394"/>
        <v>523885.66</v>
      </c>
      <c r="J697" s="207">
        <f t="shared" si="369"/>
        <v>99.426023419559314</v>
      </c>
      <c r="M697" s="295"/>
      <c r="N697" s="295"/>
      <c r="O697" s="295"/>
    </row>
    <row r="698" spans="1:15" x14ac:dyDescent="0.25">
      <c r="A698" s="276">
        <v>687</v>
      </c>
      <c r="B698" s="282" t="s">
        <v>20</v>
      </c>
      <c r="C698" s="281">
        <v>957</v>
      </c>
      <c r="D698" s="281" t="s">
        <v>89</v>
      </c>
      <c r="E698" s="281">
        <v>8110000210</v>
      </c>
      <c r="F698" s="276">
        <v>240</v>
      </c>
      <c r="G698" s="27">
        <f>479410+47500</f>
        <v>526910</v>
      </c>
      <c r="H698" s="27">
        <v>526910</v>
      </c>
      <c r="I698" s="146">
        <v>523885.66</v>
      </c>
      <c r="J698" s="207">
        <f t="shared" si="369"/>
        <v>99.426023419559314</v>
      </c>
      <c r="M698" s="295"/>
      <c r="N698" s="295"/>
      <c r="O698" s="295"/>
    </row>
    <row r="699" spans="1:15" x14ac:dyDescent="0.25">
      <c r="A699" s="276">
        <v>688</v>
      </c>
      <c r="B699" s="282" t="s">
        <v>31</v>
      </c>
      <c r="C699" s="281">
        <v>957</v>
      </c>
      <c r="D699" s="281" t="s">
        <v>89</v>
      </c>
      <c r="E699" s="281">
        <v>8110000210</v>
      </c>
      <c r="F699" s="276">
        <v>800</v>
      </c>
      <c r="G699" s="27">
        <f t="shared" ref="G699" si="395">G700</f>
        <v>500</v>
      </c>
      <c r="H699" s="27">
        <f t="shared" ref="H699:I699" si="396">H700</f>
        <v>500</v>
      </c>
      <c r="I699" s="27">
        <f t="shared" si="396"/>
        <v>0</v>
      </c>
      <c r="J699" s="207">
        <f t="shared" si="369"/>
        <v>0</v>
      </c>
      <c r="M699" s="295"/>
      <c r="N699" s="295"/>
      <c r="O699" s="295"/>
    </row>
    <row r="700" spans="1:15" x14ac:dyDescent="0.25">
      <c r="A700" s="276">
        <v>689</v>
      </c>
      <c r="B700" s="282" t="s">
        <v>79</v>
      </c>
      <c r="C700" s="281">
        <v>957</v>
      </c>
      <c r="D700" s="281" t="s">
        <v>89</v>
      </c>
      <c r="E700" s="281">
        <v>8110000210</v>
      </c>
      <c r="F700" s="276">
        <v>850</v>
      </c>
      <c r="G700" s="27">
        <v>500</v>
      </c>
      <c r="H700" s="27">
        <v>500</v>
      </c>
      <c r="I700" s="27">
        <v>0</v>
      </c>
      <c r="J700" s="207">
        <f t="shared" si="369"/>
        <v>0</v>
      </c>
      <c r="M700" s="295"/>
      <c r="N700" s="295"/>
      <c r="O700" s="295"/>
    </row>
    <row r="701" spans="1:15" ht="45" x14ac:dyDescent="0.25">
      <c r="A701" s="276">
        <v>690</v>
      </c>
      <c r="B701" s="277" t="s">
        <v>320</v>
      </c>
      <c r="C701" s="281" t="s">
        <v>318</v>
      </c>
      <c r="D701" s="281" t="s">
        <v>89</v>
      </c>
      <c r="E701" s="281">
        <v>8110000220</v>
      </c>
      <c r="F701" s="276"/>
      <c r="G701" s="27">
        <f t="shared" ref="G701:I701" si="397">G702</f>
        <v>645849.28999999992</v>
      </c>
      <c r="H701" s="27">
        <f t="shared" si="397"/>
        <v>645849.29</v>
      </c>
      <c r="I701" s="27">
        <f t="shared" si="397"/>
        <v>644521.68999999994</v>
      </c>
      <c r="J701" s="207">
        <f t="shared" si="369"/>
        <v>99.794441207793213</v>
      </c>
      <c r="M701" s="295"/>
      <c r="N701" s="295"/>
      <c r="O701" s="295"/>
    </row>
    <row r="702" spans="1:15" ht="45" x14ac:dyDescent="0.25">
      <c r="A702" s="276">
        <v>691</v>
      </c>
      <c r="B702" s="282" t="s">
        <v>14</v>
      </c>
      <c r="C702" s="281" t="s">
        <v>318</v>
      </c>
      <c r="D702" s="281" t="s">
        <v>89</v>
      </c>
      <c r="E702" s="281">
        <v>8110000220</v>
      </c>
      <c r="F702" s="276">
        <v>100</v>
      </c>
      <c r="G702" s="27">
        <f t="shared" ref="G702:I702" si="398">G703</f>
        <v>645849.28999999992</v>
      </c>
      <c r="H702" s="27">
        <f t="shared" si="398"/>
        <v>645849.29</v>
      </c>
      <c r="I702" s="27">
        <f t="shared" si="398"/>
        <v>644521.68999999994</v>
      </c>
      <c r="J702" s="207">
        <f t="shared" si="369"/>
        <v>99.794441207793213</v>
      </c>
      <c r="M702" s="295"/>
      <c r="N702" s="295"/>
      <c r="O702" s="295"/>
    </row>
    <row r="703" spans="1:15" x14ac:dyDescent="0.25">
      <c r="A703" s="276">
        <v>692</v>
      </c>
      <c r="B703" s="282" t="s">
        <v>15</v>
      </c>
      <c r="C703" s="281" t="s">
        <v>318</v>
      </c>
      <c r="D703" s="281" t="s">
        <v>89</v>
      </c>
      <c r="E703" s="281">
        <v>8110000220</v>
      </c>
      <c r="F703" s="276">
        <v>120</v>
      </c>
      <c r="G703" s="27">
        <f>569916.65+63277.2+12655.44</f>
        <v>645849.28999999992</v>
      </c>
      <c r="H703" s="27">
        <v>645849.29</v>
      </c>
      <c r="I703" s="146">
        <v>644521.68999999994</v>
      </c>
      <c r="J703" s="207">
        <f t="shared" si="369"/>
        <v>99.794441207793213</v>
      </c>
      <c r="M703" s="295"/>
      <c r="N703" s="295"/>
      <c r="O703" s="295"/>
    </row>
    <row r="704" spans="1:15" ht="46.5" customHeight="1" x14ac:dyDescent="0.25">
      <c r="A704" s="276">
        <v>693</v>
      </c>
      <c r="B704" s="283" t="s">
        <v>392</v>
      </c>
      <c r="C704" s="281">
        <v>957</v>
      </c>
      <c r="D704" s="281" t="s">
        <v>89</v>
      </c>
      <c r="E704" s="281" t="s">
        <v>585</v>
      </c>
      <c r="F704" s="276"/>
      <c r="G704" s="27">
        <f t="shared" ref="G704:I704" si="399">G705</f>
        <v>2589804.1399999997</v>
      </c>
      <c r="H704" s="27">
        <f t="shared" si="399"/>
        <v>2589804.14</v>
      </c>
      <c r="I704" s="27">
        <f t="shared" si="399"/>
        <v>2507950.02</v>
      </c>
      <c r="J704" s="207">
        <f t="shared" si="369"/>
        <v>96.839370254462565</v>
      </c>
      <c r="M704" s="295"/>
      <c r="N704" s="295"/>
      <c r="O704" s="295"/>
    </row>
    <row r="705" spans="1:15" ht="45" x14ac:dyDescent="0.25">
      <c r="A705" s="276">
        <v>694</v>
      </c>
      <c r="B705" s="282" t="s">
        <v>14</v>
      </c>
      <c r="C705" s="281">
        <v>957</v>
      </c>
      <c r="D705" s="281" t="s">
        <v>89</v>
      </c>
      <c r="E705" s="281">
        <v>8110000230</v>
      </c>
      <c r="F705" s="276">
        <v>100</v>
      </c>
      <c r="G705" s="27">
        <f t="shared" ref="G705:I705" si="400">G706</f>
        <v>2589804.1399999997</v>
      </c>
      <c r="H705" s="27">
        <f t="shared" si="400"/>
        <v>2589804.14</v>
      </c>
      <c r="I705" s="27">
        <f t="shared" si="400"/>
        <v>2507950.02</v>
      </c>
      <c r="J705" s="207">
        <f t="shared" si="369"/>
        <v>96.839370254462565</v>
      </c>
      <c r="M705" s="295"/>
      <c r="N705" s="295"/>
      <c r="O705" s="295"/>
    </row>
    <row r="706" spans="1:15" x14ac:dyDescent="0.25">
      <c r="A706" s="276">
        <v>695</v>
      </c>
      <c r="B706" s="282" t="s">
        <v>15</v>
      </c>
      <c r="C706" s="281">
        <v>957</v>
      </c>
      <c r="D706" s="281" t="s">
        <v>89</v>
      </c>
      <c r="E706" s="281">
        <v>8110000230</v>
      </c>
      <c r="F706" s="276">
        <v>120</v>
      </c>
      <c r="G706" s="27">
        <f>2258849.8+63277.2+21092.4+246584.74</f>
        <v>2589804.1399999997</v>
      </c>
      <c r="H706" s="27">
        <v>2589804.14</v>
      </c>
      <c r="I706" s="146">
        <v>2507950.02</v>
      </c>
      <c r="J706" s="207">
        <f t="shared" si="369"/>
        <v>96.839370254462565</v>
      </c>
      <c r="M706" s="295"/>
      <c r="N706" s="295"/>
      <c r="O706" s="295"/>
    </row>
    <row r="707" spans="1:15" x14ac:dyDescent="0.25">
      <c r="A707" s="276">
        <v>696</v>
      </c>
      <c r="B707" s="277" t="s">
        <v>317</v>
      </c>
      <c r="C707" s="281">
        <v>957</v>
      </c>
      <c r="D707" s="281" t="s">
        <v>89</v>
      </c>
      <c r="E707" s="281">
        <v>8110000240</v>
      </c>
      <c r="F707" s="276"/>
      <c r="G707" s="27">
        <f t="shared" ref="G707:I707" si="401">G708</f>
        <v>125000.00000000009</v>
      </c>
      <c r="H707" s="27">
        <f t="shared" si="401"/>
        <v>125000</v>
      </c>
      <c r="I707" s="27">
        <f t="shared" si="401"/>
        <v>125000</v>
      </c>
      <c r="J707" s="207">
        <f t="shared" si="369"/>
        <v>100</v>
      </c>
      <c r="M707" s="295"/>
      <c r="N707" s="295"/>
      <c r="O707" s="295"/>
    </row>
    <row r="708" spans="1:15" ht="45" x14ac:dyDescent="0.25">
      <c r="A708" s="276">
        <v>697</v>
      </c>
      <c r="B708" s="282" t="s">
        <v>14</v>
      </c>
      <c r="C708" s="281">
        <v>957</v>
      </c>
      <c r="D708" s="281" t="s">
        <v>89</v>
      </c>
      <c r="E708" s="281">
        <v>8110000240</v>
      </c>
      <c r="F708" s="276">
        <v>100</v>
      </c>
      <c r="G708" s="27">
        <f t="shared" ref="G708:I708" si="402">G709</f>
        <v>125000.00000000009</v>
      </c>
      <c r="H708" s="27">
        <f t="shared" si="402"/>
        <v>125000</v>
      </c>
      <c r="I708" s="27">
        <f t="shared" si="402"/>
        <v>125000</v>
      </c>
      <c r="J708" s="207">
        <f t="shared" si="369"/>
        <v>100</v>
      </c>
      <c r="M708" s="295"/>
      <c r="N708" s="295"/>
      <c r="O708" s="295"/>
    </row>
    <row r="709" spans="1:15" x14ac:dyDescent="0.25">
      <c r="A709" s="276">
        <v>698</v>
      </c>
      <c r="B709" s="282" t="s">
        <v>15</v>
      </c>
      <c r="C709" s="281">
        <v>957</v>
      </c>
      <c r="D709" s="281" t="s">
        <v>89</v>
      </c>
      <c r="E709" s="281">
        <v>8110000240</v>
      </c>
      <c r="F709" s="276">
        <v>120</v>
      </c>
      <c r="G709" s="27">
        <f>2284958.63+63277.2-61000-21000-1185892.53-49215.6-847066.1-14061.6-45000</f>
        <v>125000.00000000009</v>
      </c>
      <c r="H709" s="27">
        <v>125000</v>
      </c>
      <c r="I709" s="146">
        <v>125000</v>
      </c>
      <c r="J709" s="207">
        <f t="shared" si="369"/>
        <v>100</v>
      </c>
      <c r="M709" s="295"/>
      <c r="N709" s="295"/>
      <c r="O709" s="295"/>
    </row>
    <row r="710" spans="1:15" ht="24" customHeight="1" x14ac:dyDescent="0.25">
      <c r="A710" s="276">
        <v>699</v>
      </c>
      <c r="B710" s="68" t="s">
        <v>81</v>
      </c>
      <c r="C710" s="41"/>
      <c r="D710" s="41"/>
      <c r="E710" s="42"/>
      <c r="F710" s="41"/>
      <c r="G710" s="44">
        <f>G12+G127+G361+G376+G393+G410+G430+G579+G671+G689</f>
        <v>1543173008.1900001</v>
      </c>
      <c r="H710" s="44">
        <f>H12+H127+H361+H376+H393+H410+H430+H579+H671+H689</f>
        <v>1539521650.9899998</v>
      </c>
      <c r="I710" s="44">
        <f>I12+I127+I361+I376+I393+I410+I430+I579+I671+I689</f>
        <v>1491696033.7299998</v>
      </c>
      <c r="J710" s="207">
        <f t="shared" si="369"/>
        <v>96.893475500702081</v>
      </c>
      <c r="M710" s="295"/>
      <c r="N710" s="295"/>
      <c r="O710" s="295"/>
    </row>
    <row r="711" spans="1:15" x14ac:dyDescent="0.25">
      <c r="C711" s="73"/>
      <c r="D711" s="73"/>
      <c r="E711" s="314"/>
      <c r="G711" s="315"/>
      <c r="H711" s="316"/>
      <c r="I711" s="316"/>
    </row>
    <row r="712" spans="1:15" x14ac:dyDescent="0.25">
      <c r="G712" s="315"/>
      <c r="H712" s="315"/>
      <c r="I712" s="315"/>
    </row>
    <row r="713" spans="1:15" x14ac:dyDescent="0.25">
      <c r="H713" s="315"/>
      <c r="I713" s="315"/>
      <c r="J713" s="286"/>
    </row>
    <row r="714" spans="1:15" x14ac:dyDescent="0.25">
      <c r="G714" s="315"/>
      <c r="H714" s="315"/>
      <c r="I714" s="315"/>
    </row>
    <row r="715" spans="1:15" x14ac:dyDescent="0.25">
      <c r="G715" s="315"/>
      <c r="H715" s="315"/>
      <c r="I715" s="147"/>
    </row>
    <row r="716" spans="1:15" x14ac:dyDescent="0.25">
      <c r="G716" s="315"/>
      <c r="H716" s="315"/>
      <c r="I716" s="315"/>
    </row>
    <row r="717" spans="1:15" x14ac:dyDescent="0.25">
      <c r="G717" s="315"/>
    </row>
    <row r="718" spans="1:15" x14ac:dyDescent="0.25">
      <c r="G718" s="315"/>
    </row>
  </sheetData>
  <mergeCells count="2">
    <mergeCell ref="A6:I6"/>
    <mergeCell ref="A7:I7"/>
  </mergeCells>
  <printOptions horizontalCentered="1"/>
  <pageMargins left="0" right="3.937007874015748E-2" top="0.23622047244094491" bottom="0.1968503937007874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3"/>
  <sheetViews>
    <sheetView tabSelected="1" topLeftCell="A256" zoomScaleNormal="100" zoomScaleSheetLayoutView="95" workbookViewId="0">
      <selection activeCell="M11" sqref="M11"/>
    </sheetView>
  </sheetViews>
  <sheetFormatPr defaultRowHeight="15" x14ac:dyDescent="0.25"/>
  <cols>
    <col min="1" max="1" width="5.85546875" style="137" customWidth="1"/>
    <col min="2" max="2" width="72.42578125" style="14" customWidth="1"/>
    <col min="3" max="3" width="15.140625" style="15" customWidth="1"/>
    <col min="4" max="4" width="9.140625" style="15" customWidth="1"/>
    <col min="5" max="5" width="12.28515625" style="15" customWidth="1"/>
    <col min="6" max="6" width="20.28515625" style="15" customWidth="1"/>
    <col min="7" max="7" width="20.85546875" style="15" customWidth="1"/>
    <col min="8" max="8" width="21.5703125" style="12" customWidth="1"/>
    <col min="9" max="9" width="20" style="12" customWidth="1"/>
    <col min="10" max="16384" width="9.140625" style="12"/>
  </cols>
  <sheetData>
    <row r="1" spans="1:9" x14ac:dyDescent="0.25">
      <c r="G1" s="16" t="s">
        <v>149</v>
      </c>
      <c r="H1" s="15"/>
    </row>
    <row r="2" spans="1:9" x14ac:dyDescent="0.25">
      <c r="G2" s="18" t="s">
        <v>150</v>
      </c>
      <c r="H2" s="15"/>
    </row>
    <row r="3" spans="1:9" x14ac:dyDescent="0.25">
      <c r="G3" s="18" t="s">
        <v>244</v>
      </c>
      <c r="H3" s="15"/>
    </row>
    <row r="4" spans="1:9" x14ac:dyDescent="0.25">
      <c r="G4" s="18" t="s">
        <v>418</v>
      </c>
      <c r="H4" s="15"/>
    </row>
    <row r="5" spans="1:9" x14ac:dyDescent="0.25">
      <c r="G5" s="18"/>
      <c r="H5" s="15"/>
    </row>
    <row r="6" spans="1:9" ht="42.75" customHeight="1" x14ac:dyDescent="0.25">
      <c r="A6" s="345" t="s">
        <v>594</v>
      </c>
      <c r="B6" s="345"/>
      <c r="C6" s="345"/>
      <c r="D6" s="345"/>
      <c r="E6" s="345"/>
      <c r="F6" s="345"/>
      <c r="G6" s="345"/>
      <c r="H6" s="345"/>
    </row>
    <row r="7" spans="1:9" x14ac:dyDescent="0.25">
      <c r="A7" s="20"/>
      <c r="B7" s="21"/>
      <c r="C7" s="22"/>
      <c r="D7" s="22"/>
      <c r="E7" s="22"/>
      <c r="I7" s="212" t="s">
        <v>498</v>
      </c>
    </row>
    <row r="8" spans="1:9" ht="45" x14ac:dyDescent="0.25">
      <c r="A8" s="23" t="s">
        <v>0</v>
      </c>
      <c r="B8" s="23" t="s">
        <v>1</v>
      </c>
      <c r="C8" s="24" t="s">
        <v>4</v>
      </c>
      <c r="D8" s="24" t="s">
        <v>5</v>
      </c>
      <c r="E8" s="24" t="s">
        <v>82</v>
      </c>
      <c r="F8" s="253" t="s">
        <v>589</v>
      </c>
      <c r="G8" s="253" t="s">
        <v>590</v>
      </c>
      <c r="H8" s="25" t="s">
        <v>591</v>
      </c>
      <c r="I8" s="27" t="s">
        <v>592</v>
      </c>
    </row>
    <row r="9" spans="1:9" x14ac:dyDescent="0.25">
      <c r="A9" s="26"/>
      <c r="B9" s="24" t="s">
        <v>6</v>
      </c>
      <c r="C9" s="24" t="s">
        <v>7</v>
      </c>
      <c r="D9" s="24" t="s">
        <v>8</v>
      </c>
      <c r="E9" s="24" t="s">
        <v>9</v>
      </c>
      <c r="F9" s="210">
        <v>5</v>
      </c>
      <c r="G9" s="210">
        <v>6</v>
      </c>
      <c r="H9" s="211">
        <v>7</v>
      </c>
      <c r="I9" s="211">
        <v>8</v>
      </c>
    </row>
    <row r="10" spans="1:9" ht="42.75" x14ac:dyDescent="0.25">
      <c r="A10" s="136">
        <v>1</v>
      </c>
      <c r="B10" s="63" t="s">
        <v>245</v>
      </c>
      <c r="C10" s="42" t="s">
        <v>355</v>
      </c>
      <c r="D10" s="28"/>
      <c r="E10" s="29"/>
      <c r="F10" s="44">
        <f>F11+F14</f>
        <v>169800</v>
      </c>
      <c r="G10" s="44">
        <f t="shared" ref="G10:H10" si="0">G11+G14</f>
        <v>169800</v>
      </c>
      <c r="H10" s="44">
        <f t="shared" si="0"/>
        <v>169799</v>
      </c>
      <c r="I10" s="287">
        <f>H10/G10*100</f>
        <v>99.999411071849238</v>
      </c>
    </row>
    <row r="11" spans="1:9" ht="30" x14ac:dyDescent="0.25">
      <c r="A11" s="136">
        <v>2</v>
      </c>
      <c r="B11" s="64" t="s">
        <v>310</v>
      </c>
      <c r="C11" s="39" t="s">
        <v>349</v>
      </c>
      <c r="D11" s="51"/>
      <c r="E11" s="39"/>
      <c r="F11" s="35">
        <f>F13+F12</f>
        <v>79800</v>
      </c>
      <c r="G11" s="35">
        <f t="shared" ref="G11:H11" si="1">G13+G12</f>
        <v>79800</v>
      </c>
      <c r="H11" s="35">
        <f t="shared" si="1"/>
        <v>79799</v>
      </c>
      <c r="I11" s="287">
        <f t="shared" ref="I11:I74" si="2">H11/G11*100</f>
        <v>99.998746867167924</v>
      </c>
    </row>
    <row r="12" spans="1:9" ht="86.25" customHeight="1" x14ac:dyDescent="0.25">
      <c r="A12" s="222">
        <v>3</v>
      </c>
      <c r="B12" s="225" t="str">
        <f>'приложение 4'!B92</f>
        <v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v>
      </c>
      <c r="C12" s="226" t="s">
        <v>517</v>
      </c>
      <c r="D12" s="222">
        <v>540</v>
      </c>
      <c r="E12" s="226" t="s">
        <v>516</v>
      </c>
      <c r="F12" s="27">
        <f>'приложение 4'!G92</f>
        <v>49800</v>
      </c>
      <c r="G12" s="27">
        <f>'приложение 4'!H92</f>
        <v>49800</v>
      </c>
      <c r="H12" s="27">
        <f>'приложение 4'!I92</f>
        <v>49800</v>
      </c>
      <c r="I12" s="287">
        <f t="shared" si="2"/>
        <v>100</v>
      </c>
    </row>
    <row r="13" spans="1:9" ht="75" x14ac:dyDescent="0.25">
      <c r="A13" s="136">
        <v>4</v>
      </c>
      <c r="B13" s="53" t="s">
        <v>353</v>
      </c>
      <c r="C13" s="170" t="str">
        <f>'приложение 4'!E664</f>
        <v>0110080070</v>
      </c>
      <c r="D13" s="61">
        <v>610</v>
      </c>
      <c r="E13" s="62" t="s">
        <v>250</v>
      </c>
      <c r="F13" s="43">
        <f>'приложение 4'!G666</f>
        <v>30000</v>
      </c>
      <c r="G13" s="43">
        <f>'приложение 4'!H666</f>
        <v>30000</v>
      </c>
      <c r="H13" s="43">
        <f>'приложение 4'!I666</f>
        <v>29999</v>
      </c>
      <c r="I13" s="287">
        <f t="shared" si="2"/>
        <v>99.99666666666667</v>
      </c>
    </row>
    <row r="14" spans="1:9" ht="47.25" x14ac:dyDescent="0.25">
      <c r="A14" s="136">
        <v>5</v>
      </c>
      <c r="B14" s="65" t="s">
        <v>311</v>
      </c>
      <c r="C14" s="39" t="s">
        <v>351</v>
      </c>
      <c r="D14" s="51"/>
      <c r="E14" s="39"/>
      <c r="F14" s="35">
        <f t="shared" ref="F14:H14" si="3">F15</f>
        <v>90000</v>
      </c>
      <c r="G14" s="35">
        <f t="shared" si="3"/>
        <v>90000</v>
      </c>
      <c r="H14" s="35">
        <f t="shared" si="3"/>
        <v>90000</v>
      </c>
      <c r="I14" s="287">
        <f t="shared" si="2"/>
        <v>100</v>
      </c>
    </row>
    <row r="15" spans="1:9" ht="94.5" x14ac:dyDescent="0.25">
      <c r="A15" s="136">
        <v>6</v>
      </c>
      <c r="B15" s="58" t="s">
        <v>354</v>
      </c>
      <c r="C15" s="83" t="s">
        <v>352</v>
      </c>
      <c r="D15" s="28">
        <v>610</v>
      </c>
      <c r="E15" s="29" t="s">
        <v>250</v>
      </c>
      <c r="F15" s="27">
        <f>'приложение 4'!G670</f>
        <v>90000</v>
      </c>
      <c r="G15" s="27">
        <f>'приложение 4'!H670</f>
        <v>90000</v>
      </c>
      <c r="H15" s="27">
        <f>'приложение 4'!I670</f>
        <v>90000</v>
      </c>
      <c r="I15" s="287">
        <f t="shared" si="2"/>
        <v>100</v>
      </c>
    </row>
    <row r="16" spans="1:9" ht="28.5" x14ac:dyDescent="0.25">
      <c r="A16" s="136">
        <v>7</v>
      </c>
      <c r="B16" s="70" t="s">
        <v>216</v>
      </c>
      <c r="C16" s="41" t="str">
        <f>'приложение 4'!E379</f>
        <v>0200000000</v>
      </c>
      <c r="D16" s="41"/>
      <c r="E16" s="42"/>
      <c r="F16" s="44">
        <f>F17+F20+F26+F29+F41</f>
        <v>152152563.16999999</v>
      </c>
      <c r="G16" s="44">
        <f>G17+G20+G26+G29+G41</f>
        <v>152152563.17000002</v>
      </c>
      <c r="H16" s="44">
        <f>H17+H20+H26+H29+H41</f>
        <v>148573828.55000001</v>
      </c>
      <c r="I16" s="287">
        <f t="shared" si="2"/>
        <v>97.647930113407639</v>
      </c>
    </row>
    <row r="17" spans="1:9" x14ac:dyDescent="0.25">
      <c r="A17" s="136">
        <v>8</v>
      </c>
      <c r="B17" s="37" t="s">
        <v>68</v>
      </c>
      <c r="C17" s="51" t="str">
        <f>'приложение 4'!E613</f>
        <v>0210000000</v>
      </c>
      <c r="D17" s="41"/>
      <c r="E17" s="42"/>
      <c r="F17" s="35">
        <f t="shared" ref="F17:G17" si="4">F18+F19</f>
        <v>36372006.969999999</v>
      </c>
      <c r="G17" s="35">
        <f t="shared" si="4"/>
        <v>36372006.969999999</v>
      </c>
      <c r="H17" s="35">
        <f t="shared" ref="H17" si="5">H18+H19</f>
        <v>35390120.07</v>
      </c>
      <c r="I17" s="287">
        <f t="shared" si="2"/>
        <v>97.300432442977737</v>
      </c>
    </row>
    <row r="18" spans="1:9" ht="45" x14ac:dyDescent="0.25">
      <c r="A18" s="136">
        <v>9</v>
      </c>
      <c r="B18" s="56" t="s">
        <v>344</v>
      </c>
      <c r="C18" s="28" t="str">
        <f>'приложение 4'!E614</f>
        <v>0210000610</v>
      </c>
      <c r="D18" s="28">
        <v>610</v>
      </c>
      <c r="E18" s="29" t="s">
        <v>121</v>
      </c>
      <c r="F18" s="27">
        <f>'приложение 4'!G616</f>
        <v>30451608.219999999</v>
      </c>
      <c r="G18" s="27">
        <f>'приложение 4'!H616</f>
        <v>30451608.219999999</v>
      </c>
      <c r="H18" s="27">
        <f>'приложение 4'!I616</f>
        <v>29650267.300000001</v>
      </c>
      <c r="I18" s="287">
        <f t="shared" si="2"/>
        <v>97.368477506308864</v>
      </c>
    </row>
    <row r="19" spans="1:9" ht="45" x14ac:dyDescent="0.25">
      <c r="A19" s="136">
        <v>10</v>
      </c>
      <c r="B19" s="56" t="s">
        <v>345</v>
      </c>
      <c r="C19" s="28" t="str">
        <f>'приложение 4'!E617</f>
        <v>0210000630</v>
      </c>
      <c r="D19" s="28">
        <v>610</v>
      </c>
      <c r="E19" s="29" t="s">
        <v>121</v>
      </c>
      <c r="F19" s="27">
        <f>'приложение 4'!G619</f>
        <v>5920398.75</v>
      </c>
      <c r="G19" s="27">
        <f>'приложение 4'!H619</f>
        <v>5920398.75</v>
      </c>
      <c r="H19" s="27">
        <f>'приложение 4'!I619</f>
        <v>5739852.7699999996</v>
      </c>
      <c r="I19" s="287">
        <f t="shared" si="2"/>
        <v>96.950442231614886</v>
      </c>
    </row>
    <row r="20" spans="1:9" x14ac:dyDescent="0.25">
      <c r="A20" s="136">
        <v>11</v>
      </c>
      <c r="B20" s="84" t="s">
        <v>60</v>
      </c>
      <c r="C20" s="39" t="s">
        <v>188</v>
      </c>
      <c r="D20" s="41"/>
      <c r="E20" s="42"/>
      <c r="F20" s="35">
        <f>F21+F22+F24+F25+F23</f>
        <v>3298241.0199999996</v>
      </c>
      <c r="G20" s="35">
        <f t="shared" ref="G20:H20" si="6">G21+G22+G24+G25+G23</f>
        <v>3298241.02</v>
      </c>
      <c r="H20" s="35">
        <f t="shared" si="6"/>
        <v>3264063.34</v>
      </c>
      <c r="I20" s="287">
        <f t="shared" si="2"/>
        <v>98.963760386437741</v>
      </c>
    </row>
    <row r="21" spans="1:9" x14ac:dyDescent="0.25">
      <c r="A21" s="329">
        <v>12</v>
      </c>
      <c r="B21" s="330" t="s">
        <v>61</v>
      </c>
      <c r="C21" s="329" t="str">
        <f>'приложение 4'!E382</f>
        <v>0220000610</v>
      </c>
      <c r="D21" s="28">
        <v>110</v>
      </c>
      <c r="E21" s="29" t="s">
        <v>93</v>
      </c>
      <c r="F21" s="27">
        <f>'приложение 4'!G383</f>
        <v>2188286.0199999996</v>
      </c>
      <c r="G21" s="27">
        <f>'приложение 4'!H383</f>
        <v>2188286.02</v>
      </c>
      <c r="H21" s="27">
        <f>'приложение 4'!I383</f>
        <v>2158261.6</v>
      </c>
      <c r="I21" s="287">
        <f t="shared" si="2"/>
        <v>98.627948096108582</v>
      </c>
    </row>
    <row r="22" spans="1:9" x14ac:dyDescent="0.25">
      <c r="A22" s="329"/>
      <c r="B22" s="330"/>
      <c r="C22" s="329"/>
      <c r="D22" s="28">
        <v>240</v>
      </c>
      <c r="E22" s="29" t="s">
        <v>93</v>
      </c>
      <c r="F22" s="27">
        <f>'приложение 4'!G385</f>
        <v>688055</v>
      </c>
      <c r="G22" s="27">
        <f>'приложение 4'!H385</f>
        <v>688055</v>
      </c>
      <c r="H22" s="27">
        <f>'приложение 4'!I385</f>
        <v>688048.84</v>
      </c>
      <c r="I22" s="287">
        <f t="shared" si="2"/>
        <v>99.999104722732909</v>
      </c>
    </row>
    <row r="23" spans="1:9" x14ac:dyDescent="0.25">
      <c r="A23" s="329"/>
      <c r="B23" s="330"/>
      <c r="C23" s="329"/>
      <c r="D23" s="28">
        <v>850</v>
      </c>
      <c r="E23" s="29" t="s">
        <v>93</v>
      </c>
      <c r="F23" s="27">
        <f>'приложение 4'!G387</f>
        <v>500</v>
      </c>
      <c r="G23" s="27">
        <f>'приложение 4'!H387</f>
        <v>500</v>
      </c>
      <c r="H23" s="27">
        <f>'приложение 4'!I387</f>
        <v>0</v>
      </c>
      <c r="I23" s="287">
        <f t="shared" si="2"/>
        <v>0</v>
      </c>
    </row>
    <row r="24" spans="1:9" x14ac:dyDescent="0.25">
      <c r="A24" s="329">
        <v>13</v>
      </c>
      <c r="B24" s="352" t="s">
        <v>63</v>
      </c>
      <c r="C24" s="329" t="str">
        <f>'приложение 4'!E388</f>
        <v>0220075190</v>
      </c>
      <c r="D24" s="28">
        <v>110</v>
      </c>
      <c r="E24" s="29" t="s">
        <v>93</v>
      </c>
      <c r="F24" s="27">
        <f>'приложение 4'!G390</f>
        <v>366554.6</v>
      </c>
      <c r="G24" s="27">
        <f>'приложение 4'!H390</f>
        <v>366554.6</v>
      </c>
      <c r="H24" s="27">
        <f>'приложение 4'!I390</f>
        <v>362907.9</v>
      </c>
      <c r="I24" s="287">
        <f t="shared" si="2"/>
        <v>99.005141389577446</v>
      </c>
    </row>
    <row r="25" spans="1:9" x14ac:dyDescent="0.25">
      <c r="A25" s="329"/>
      <c r="B25" s="352"/>
      <c r="C25" s="329"/>
      <c r="D25" s="28">
        <v>240</v>
      </c>
      <c r="E25" s="29" t="s">
        <v>93</v>
      </c>
      <c r="F25" s="27">
        <f>'приложение 4'!G392</f>
        <v>54845.4</v>
      </c>
      <c r="G25" s="27">
        <f>'приложение 4'!H392</f>
        <v>54845.4</v>
      </c>
      <c r="H25" s="27">
        <f>'приложение 4'!I392</f>
        <v>54845</v>
      </c>
      <c r="I25" s="287">
        <f t="shared" si="2"/>
        <v>99.999270677212664</v>
      </c>
    </row>
    <row r="26" spans="1:9" x14ac:dyDescent="0.25">
      <c r="A26" s="136">
        <v>14</v>
      </c>
      <c r="B26" s="66" t="s">
        <v>69</v>
      </c>
      <c r="C26" s="39" t="s">
        <v>213</v>
      </c>
      <c r="D26" s="41"/>
      <c r="E26" s="42"/>
      <c r="F26" s="35">
        <f>F27+F28</f>
        <v>57721477.519999996</v>
      </c>
      <c r="G26" s="35">
        <f t="shared" ref="G26:H26" si="7">G27+G28</f>
        <v>57721477.520000003</v>
      </c>
      <c r="H26" s="35">
        <f t="shared" si="7"/>
        <v>57096916.159999996</v>
      </c>
      <c r="I26" s="287">
        <f t="shared" si="2"/>
        <v>98.917974059510854</v>
      </c>
    </row>
    <row r="27" spans="1:9" ht="45" x14ac:dyDescent="0.25">
      <c r="A27" s="136">
        <v>15</v>
      </c>
      <c r="B27" s="56" t="s">
        <v>346</v>
      </c>
      <c r="C27" s="28" t="str">
        <f>'приложение 4'!E621</f>
        <v>0230000650</v>
      </c>
      <c r="D27" s="28">
        <v>610</v>
      </c>
      <c r="E27" s="29" t="s">
        <v>121</v>
      </c>
      <c r="F27" s="27">
        <f>'приложение 4'!G623</f>
        <v>33921367.519999996</v>
      </c>
      <c r="G27" s="27">
        <f>'приложение 4'!H623</f>
        <v>33921367.520000003</v>
      </c>
      <c r="H27" s="27">
        <f>'приложение 4'!I623</f>
        <v>33296806.16</v>
      </c>
      <c r="I27" s="287">
        <f t="shared" si="2"/>
        <v>98.158796635684681</v>
      </c>
    </row>
    <row r="28" spans="1:9" ht="45" x14ac:dyDescent="0.25">
      <c r="A28" s="136">
        <v>16</v>
      </c>
      <c r="B28" s="56" t="s">
        <v>347</v>
      </c>
      <c r="C28" s="28" t="str">
        <f>'приложение 4'!E624</f>
        <v>0230000660</v>
      </c>
      <c r="D28" s="28">
        <v>610</v>
      </c>
      <c r="E28" s="29" t="s">
        <v>121</v>
      </c>
      <c r="F28" s="27">
        <f>'приложение 4'!G626</f>
        <v>23800110</v>
      </c>
      <c r="G28" s="27">
        <f>'приложение 4'!H626</f>
        <v>23800110</v>
      </c>
      <c r="H28" s="27">
        <f>'приложение 4'!I626</f>
        <v>23800110</v>
      </c>
      <c r="I28" s="287">
        <f t="shared" si="2"/>
        <v>100</v>
      </c>
    </row>
    <row r="29" spans="1:9" ht="30" x14ac:dyDescent="0.25">
      <c r="A29" s="136">
        <v>17</v>
      </c>
      <c r="B29" s="84" t="s">
        <v>65</v>
      </c>
      <c r="C29" s="39" t="s">
        <v>206</v>
      </c>
      <c r="D29" s="41"/>
      <c r="E29" s="42"/>
      <c r="F29" s="35">
        <f>F30+F34+F35+F36+F38+F39+F37+F31+F40+F32+F33</f>
        <v>54720837.659999996</v>
      </c>
      <c r="G29" s="35">
        <f t="shared" ref="G29:H29" si="8">G30+G34+G35+G36+G38+G39+G37+G31+G40+G32+G33</f>
        <v>54720837.659999996</v>
      </c>
      <c r="H29" s="35">
        <f t="shared" si="8"/>
        <v>52784428.980000012</v>
      </c>
      <c r="I29" s="287">
        <f t="shared" si="2"/>
        <v>96.46129561825866</v>
      </c>
    </row>
    <row r="30" spans="1:9" ht="60" x14ac:dyDescent="0.25">
      <c r="A30" s="136">
        <v>18</v>
      </c>
      <c r="B30" s="59" t="s">
        <v>340</v>
      </c>
      <c r="C30" s="28" t="str">
        <f>'приложение 4'!E584</f>
        <v>0240000610</v>
      </c>
      <c r="D30" s="28">
        <v>610</v>
      </c>
      <c r="E30" s="29" t="s">
        <v>165</v>
      </c>
      <c r="F30" s="27">
        <f>'приложение 4'!G586</f>
        <v>44794853.619999997</v>
      </c>
      <c r="G30" s="27">
        <f>'приложение 4'!H586</f>
        <v>44794853.619999997</v>
      </c>
      <c r="H30" s="27">
        <f>'приложение 4'!I586</f>
        <v>42867394.530000001</v>
      </c>
      <c r="I30" s="287">
        <f t="shared" si="2"/>
        <v>95.697141670891796</v>
      </c>
    </row>
    <row r="31" spans="1:9" ht="48.75" customHeight="1" x14ac:dyDescent="0.25">
      <c r="A31" s="171">
        <v>19</v>
      </c>
      <c r="B31" s="174" t="s">
        <v>458</v>
      </c>
      <c r="C31" s="169" t="str">
        <f>'приложение 4'!E589</f>
        <v>024А155191</v>
      </c>
      <c r="D31" s="171">
        <v>610</v>
      </c>
      <c r="E31" s="169" t="s">
        <v>165</v>
      </c>
      <c r="F31" s="27">
        <f>'приложение 4'!G589</f>
        <v>3720910</v>
      </c>
      <c r="G31" s="27">
        <f>'приложение 4'!H589</f>
        <v>3720910</v>
      </c>
      <c r="H31" s="27">
        <f>'приложение 4'!I589</f>
        <v>3720910</v>
      </c>
      <c r="I31" s="287">
        <f t="shared" si="2"/>
        <v>100</v>
      </c>
    </row>
    <row r="32" spans="1:9" ht="62.25" customHeight="1" x14ac:dyDescent="0.25">
      <c r="A32" s="222">
        <v>20</v>
      </c>
      <c r="B32" s="223" t="s">
        <v>525</v>
      </c>
      <c r="C32" s="226" t="s">
        <v>521</v>
      </c>
      <c r="D32" s="222">
        <v>610</v>
      </c>
      <c r="E32" s="226" t="s">
        <v>121</v>
      </c>
      <c r="F32" s="27">
        <f>'приложение 4'!G640</f>
        <v>50000</v>
      </c>
      <c r="G32" s="27">
        <f>'приложение 4'!H640</f>
        <v>50000</v>
      </c>
      <c r="H32" s="27">
        <f>'приложение 4'!I640</f>
        <v>50000</v>
      </c>
      <c r="I32" s="287">
        <f t="shared" si="2"/>
        <v>100</v>
      </c>
    </row>
    <row r="33" spans="1:9" ht="63.75" customHeight="1" x14ac:dyDescent="0.25">
      <c r="A33" s="222">
        <v>21</v>
      </c>
      <c r="B33" s="223" t="s">
        <v>524</v>
      </c>
      <c r="C33" s="226" t="s">
        <v>523</v>
      </c>
      <c r="D33" s="222">
        <v>610</v>
      </c>
      <c r="E33" s="226" t="s">
        <v>121</v>
      </c>
      <c r="F33" s="27">
        <f>'приложение 4'!G643</f>
        <v>100000</v>
      </c>
      <c r="G33" s="27">
        <f>'приложение 4'!H643</f>
        <v>100000</v>
      </c>
      <c r="H33" s="27">
        <f>'приложение 4'!I643</f>
        <v>100000</v>
      </c>
      <c r="I33" s="287">
        <f t="shared" si="2"/>
        <v>100</v>
      </c>
    </row>
    <row r="34" spans="1:9" ht="23.25" customHeight="1" x14ac:dyDescent="0.25">
      <c r="A34" s="329">
        <v>22</v>
      </c>
      <c r="B34" s="330" t="s">
        <v>357</v>
      </c>
      <c r="C34" s="329" t="str">
        <f>'приложение 4'!E649</f>
        <v>0240000610</v>
      </c>
      <c r="D34" s="28">
        <v>110</v>
      </c>
      <c r="E34" s="29" t="s">
        <v>122</v>
      </c>
      <c r="F34" s="27">
        <f>'приложение 4'!G651</f>
        <v>4442876.04</v>
      </c>
      <c r="G34" s="27">
        <f>'приложение 4'!H651</f>
        <v>4442876.04</v>
      </c>
      <c r="H34" s="27">
        <f>'приложение 4'!I651</f>
        <v>4439617.7300000004</v>
      </c>
      <c r="I34" s="287">
        <f t="shared" si="2"/>
        <v>99.926662144730926</v>
      </c>
    </row>
    <row r="35" spans="1:9" ht="20.25" customHeight="1" x14ac:dyDescent="0.25">
      <c r="A35" s="329"/>
      <c r="B35" s="330"/>
      <c r="C35" s="329"/>
      <c r="D35" s="28">
        <v>240</v>
      </c>
      <c r="E35" s="29" t="s">
        <v>122</v>
      </c>
      <c r="F35" s="27">
        <f>'приложение 4'!G653</f>
        <v>421928</v>
      </c>
      <c r="G35" s="27">
        <f>'приложение 4'!H653</f>
        <v>421928</v>
      </c>
      <c r="H35" s="27">
        <f>'приложение 4'!I653</f>
        <v>416717</v>
      </c>
      <c r="I35" s="287">
        <f t="shared" si="2"/>
        <v>98.764955158226059</v>
      </c>
    </row>
    <row r="36" spans="1:9" ht="31.5" customHeight="1" x14ac:dyDescent="0.25">
      <c r="A36" s="329"/>
      <c r="B36" s="330"/>
      <c r="C36" s="329"/>
      <c r="D36" s="28">
        <v>850</v>
      </c>
      <c r="E36" s="29" t="s">
        <v>122</v>
      </c>
      <c r="F36" s="27">
        <f>'приложение 4'!G655</f>
        <v>500</v>
      </c>
      <c r="G36" s="27">
        <f>'приложение 4'!H655</f>
        <v>500</v>
      </c>
      <c r="H36" s="27">
        <f>'приложение 4'!I655</f>
        <v>20.02</v>
      </c>
      <c r="I36" s="287">
        <f t="shared" si="2"/>
        <v>4.0039999999999996</v>
      </c>
    </row>
    <row r="37" spans="1:9" ht="48" customHeight="1" x14ac:dyDescent="0.25">
      <c r="A37" s="166">
        <v>23</v>
      </c>
      <c r="B37" s="167" t="s">
        <v>454</v>
      </c>
      <c r="C37" s="168" t="str">
        <f>'приложение 4'!E631</f>
        <v>02400L5190</v>
      </c>
      <c r="D37" s="166">
        <v>610</v>
      </c>
      <c r="E37" s="168" t="s">
        <v>121</v>
      </c>
      <c r="F37" s="27">
        <f>'приложение 4'!G631</f>
        <v>147000</v>
      </c>
      <c r="G37" s="27">
        <f>'приложение 4'!H631</f>
        <v>147000</v>
      </c>
      <c r="H37" s="27">
        <f>'приложение 4'!I631</f>
        <v>147000</v>
      </c>
      <c r="I37" s="287">
        <f t="shared" si="2"/>
        <v>100</v>
      </c>
    </row>
    <row r="38" spans="1:9" ht="34.5" customHeight="1" x14ac:dyDescent="0.25">
      <c r="A38" s="329">
        <v>24</v>
      </c>
      <c r="B38" s="336" t="s">
        <v>390</v>
      </c>
      <c r="C38" s="29" t="s">
        <v>288</v>
      </c>
      <c r="D38" s="28">
        <v>610</v>
      </c>
      <c r="E38" s="29" t="s">
        <v>121</v>
      </c>
      <c r="F38" s="27">
        <f>'приложение 4'!G630</f>
        <v>100000</v>
      </c>
      <c r="G38" s="27">
        <f>'приложение 4'!H630</f>
        <v>100000</v>
      </c>
      <c r="H38" s="27">
        <f>'приложение 4'!I630</f>
        <v>100000</v>
      </c>
      <c r="I38" s="287">
        <f t="shared" si="2"/>
        <v>100</v>
      </c>
    </row>
    <row r="39" spans="1:9" ht="31.5" customHeight="1" x14ac:dyDescent="0.25">
      <c r="A39" s="329"/>
      <c r="B39" s="336"/>
      <c r="C39" s="29" t="str">
        <f>'приложение 4'!E639</f>
        <v>02400S4880</v>
      </c>
      <c r="D39" s="28">
        <v>610</v>
      </c>
      <c r="E39" s="29" t="s">
        <v>121</v>
      </c>
      <c r="F39" s="27">
        <f>'приложение 4'!G639</f>
        <v>245800</v>
      </c>
      <c r="G39" s="27">
        <f>'приложение 4'!H639</f>
        <v>245800</v>
      </c>
      <c r="H39" s="27">
        <f>'приложение 4'!I639</f>
        <v>245800</v>
      </c>
      <c r="I39" s="287">
        <f t="shared" si="2"/>
        <v>100</v>
      </c>
    </row>
    <row r="40" spans="1:9" ht="63" customHeight="1" x14ac:dyDescent="0.25">
      <c r="A40" s="192">
        <v>25</v>
      </c>
      <c r="B40" s="196" t="s">
        <v>489</v>
      </c>
      <c r="C40" s="197" t="str">
        <f>'приложение 4'!E637</f>
        <v>02400S4880</v>
      </c>
      <c r="D40" s="192">
        <v>610</v>
      </c>
      <c r="E40" s="197" t="s">
        <v>121</v>
      </c>
      <c r="F40" s="27">
        <f>'приложение 4'!G636</f>
        <v>696970</v>
      </c>
      <c r="G40" s="27">
        <f>'приложение 4'!H636</f>
        <v>696970</v>
      </c>
      <c r="H40" s="27">
        <f>'приложение 4'!I636</f>
        <v>696969.7</v>
      </c>
      <c r="I40" s="287">
        <f t="shared" si="2"/>
        <v>99.999956956540444</v>
      </c>
    </row>
    <row r="41" spans="1:9" ht="15.75" x14ac:dyDescent="0.25">
      <c r="A41" s="136">
        <v>26</v>
      </c>
      <c r="B41" s="40" t="s">
        <v>237</v>
      </c>
      <c r="C41" s="39" t="s">
        <v>238</v>
      </c>
      <c r="D41" s="41"/>
      <c r="E41" s="42"/>
      <c r="F41" s="35">
        <f>F42</f>
        <v>40000</v>
      </c>
      <c r="G41" s="35">
        <f t="shared" ref="G41:H41" si="9">G42</f>
        <v>40000</v>
      </c>
      <c r="H41" s="35">
        <f t="shared" si="9"/>
        <v>38300</v>
      </c>
      <c r="I41" s="287">
        <f t="shared" si="2"/>
        <v>95.75</v>
      </c>
    </row>
    <row r="42" spans="1:9" ht="63" x14ac:dyDescent="0.25">
      <c r="A42" s="160">
        <v>27</v>
      </c>
      <c r="B42" s="163" t="s">
        <v>452</v>
      </c>
      <c r="C42" s="162" t="str">
        <f>'приложение 4'!E659</f>
        <v>0250094800</v>
      </c>
      <c r="D42" s="160">
        <v>610</v>
      </c>
      <c r="E42" s="161" t="s">
        <v>122</v>
      </c>
      <c r="F42" s="43">
        <f>'приложение 4'!G659</f>
        <v>40000</v>
      </c>
      <c r="G42" s="43">
        <f>'приложение 4'!H659</f>
        <v>40000</v>
      </c>
      <c r="H42" s="43">
        <f>'приложение 4'!I659</f>
        <v>38300</v>
      </c>
      <c r="I42" s="287">
        <f t="shared" si="2"/>
        <v>95.75</v>
      </c>
    </row>
    <row r="43" spans="1:9" ht="42.75" x14ac:dyDescent="0.25">
      <c r="A43" s="136">
        <v>28</v>
      </c>
      <c r="B43" s="70" t="s">
        <v>217</v>
      </c>
      <c r="C43" s="42" t="s">
        <v>182</v>
      </c>
      <c r="D43" s="28"/>
      <c r="E43" s="29"/>
      <c r="F43" s="44">
        <f>F44+F52+F77+F85</f>
        <v>855199285.53000009</v>
      </c>
      <c r="G43" s="44">
        <f>G44+G52+G77+G85</f>
        <v>851547928.33000004</v>
      </c>
      <c r="H43" s="44">
        <f>H44+H52+H77+H85</f>
        <v>832735725.78999996</v>
      </c>
      <c r="I43" s="287">
        <f t="shared" si="2"/>
        <v>97.790822816409957</v>
      </c>
    </row>
    <row r="44" spans="1:9" x14ac:dyDescent="0.25">
      <c r="A44" s="136">
        <v>29</v>
      </c>
      <c r="B44" s="84" t="s">
        <v>133</v>
      </c>
      <c r="C44" s="39" t="s">
        <v>192</v>
      </c>
      <c r="D44" s="41"/>
      <c r="E44" s="42"/>
      <c r="F44" s="35">
        <f>F45+F46+F47+F48+F50+F51+F49</f>
        <v>253669670.76000002</v>
      </c>
      <c r="G44" s="35">
        <f t="shared" ref="G44:H44" si="10">G45+G46+G47+G48+G50+G51+G49</f>
        <v>254159770.76000002</v>
      </c>
      <c r="H44" s="35">
        <f t="shared" si="10"/>
        <v>252127869.10999995</v>
      </c>
      <c r="I44" s="287">
        <f t="shared" si="2"/>
        <v>99.200541594791275</v>
      </c>
    </row>
    <row r="45" spans="1:9" ht="60" x14ac:dyDescent="0.25">
      <c r="A45" s="136">
        <v>30</v>
      </c>
      <c r="B45" s="176" t="s">
        <v>328</v>
      </c>
      <c r="C45" s="28" t="str">
        <f>'приложение 4'!E435</f>
        <v>0310000610</v>
      </c>
      <c r="D45" s="28">
        <v>610</v>
      </c>
      <c r="E45" s="29" t="s">
        <v>115</v>
      </c>
      <c r="F45" s="43">
        <f>'приложение 4'!G437</f>
        <v>125707803.56</v>
      </c>
      <c r="G45" s="43">
        <f>'приложение 4'!H437</f>
        <v>125707803.56</v>
      </c>
      <c r="H45" s="43">
        <f>'приложение 4'!I437</f>
        <v>123758812.73</v>
      </c>
      <c r="I45" s="287">
        <f t="shared" si="2"/>
        <v>98.449586441887234</v>
      </c>
    </row>
    <row r="46" spans="1:9" ht="150" x14ac:dyDescent="0.25">
      <c r="A46" s="136">
        <v>31</v>
      </c>
      <c r="B46" s="53" t="s">
        <v>329</v>
      </c>
      <c r="C46" s="28" t="str">
        <f>'приложение 4'!E444</f>
        <v>0310074080</v>
      </c>
      <c r="D46" s="28">
        <v>610</v>
      </c>
      <c r="E46" s="29" t="s">
        <v>115</v>
      </c>
      <c r="F46" s="43">
        <f>'приложение 4'!G444</f>
        <v>46058600</v>
      </c>
      <c r="G46" s="43">
        <f>'приложение 4'!H444</f>
        <v>46058600</v>
      </c>
      <c r="H46" s="43">
        <f>'приложение 4'!I444</f>
        <v>46006768.409999996</v>
      </c>
      <c r="I46" s="287">
        <f t="shared" si="2"/>
        <v>99.887465988979258</v>
      </c>
    </row>
    <row r="47" spans="1:9" ht="150" x14ac:dyDescent="0.25">
      <c r="A47" s="136">
        <v>32</v>
      </c>
      <c r="B47" s="53" t="s">
        <v>330</v>
      </c>
      <c r="C47" s="28" t="str">
        <f>'приложение 4'!E447</f>
        <v>0310075880</v>
      </c>
      <c r="D47" s="28">
        <v>610</v>
      </c>
      <c r="E47" s="29" t="s">
        <v>115</v>
      </c>
      <c r="F47" s="43">
        <f>'приложение 4'!G449</f>
        <v>67097700</v>
      </c>
      <c r="G47" s="43">
        <f>'приложение 4'!H449</f>
        <v>67587800</v>
      </c>
      <c r="H47" s="43">
        <f>'приложение 4'!I449</f>
        <v>67556724.209999993</v>
      </c>
      <c r="I47" s="287">
        <f t="shared" si="2"/>
        <v>99.954021598572524</v>
      </c>
    </row>
    <row r="48" spans="1:9" ht="135" x14ac:dyDescent="0.25">
      <c r="A48" s="136">
        <v>33</v>
      </c>
      <c r="B48" s="54" t="s">
        <v>331</v>
      </c>
      <c r="C48" s="28" t="str">
        <f>'приложение 4'!E450</f>
        <v>0310075540</v>
      </c>
      <c r="D48" s="28">
        <v>610</v>
      </c>
      <c r="E48" s="29" t="s">
        <v>115</v>
      </c>
      <c r="F48" s="43">
        <f>'приложение 4'!G452</f>
        <v>367200</v>
      </c>
      <c r="G48" s="43">
        <f>'приложение 4'!H452</f>
        <v>367200</v>
      </c>
      <c r="H48" s="43">
        <f>'приложение 4'!I452</f>
        <v>367200</v>
      </c>
      <c r="I48" s="287">
        <f t="shared" si="2"/>
        <v>100</v>
      </c>
    </row>
    <row r="49" spans="1:9" ht="58.5" customHeight="1" x14ac:dyDescent="0.25">
      <c r="A49" s="238">
        <v>34</v>
      </c>
      <c r="B49" s="249" t="s">
        <v>553</v>
      </c>
      <c r="C49" s="237" t="s">
        <v>541</v>
      </c>
      <c r="D49" s="238">
        <v>610</v>
      </c>
      <c r="E49" s="237" t="s">
        <v>115</v>
      </c>
      <c r="F49" s="43">
        <f>'приложение 4'!G453</f>
        <v>400000</v>
      </c>
      <c r="G49" s="43">
        <f>'приложение 4'!H453</f>
        <v>400000</v>
      </c>
      <c r="H49" s="43">
        <f>'приложение 4'!I453</f>
        <v>399996.95</v>
      </c>
      <c r="I49" s="287">
        <f t="shared" si="2"/>
        <v>99.999237500000007</v>
      </c>
    </row>
    <row r="50" spans="1:9" ht="100.5" customHeight="1" x14ac:dyDescent="0.25">
      <c r="A50" s="172">
        <v>35</v>
      </c>
      <c r="B50" s="173" t="str">
        <f>'приложение 4'!B441</f>
        <v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v>
      </c>
      <c r="C50" s="183" t="str">
        <f>'приложение 4'!E443</f>
        <v>03100S8400</v>
      </c>
      <c r="D50" s="184">
        <f>'приложение 4'!F443</f>
        <v>610</v>
      </c>
      <c r="E50" s="183" t="str">
        <f>'приложение 4'!D443</f>
        <v>0701</v>
      </c>
      <c r="F50" s="43">
        <f>'приложение 4'!G443</f>
        <v>12187831.84</v>
      </c>
      <c r="G50" s="43">
        <f>'приложение 4'!H443</f>
        <v>12187831.84</v>
      </c>
      <c r="H50" s="43">
        <f>'приложение 4'!I443</f>
        <v>12187831.810000001</v>
      </c>
      <c r="I50" s="287">
        <f t="shared" si="2"/>
        <v>99.999999753852862</v>
      </c>
    </row>
    <row r="51" spans="1:9" ht="100.5" customHeight="1" x14ac:dyDescent="0.25">
      <c r="A51" s="203">
        <v>36</v>
      </c>
      <c r="B51" s="204" t="s">
        <v>492</v>
      </c>
      <c r="C51" s="201" t="str">
        <f>'приложение 4'!E438</f>
        <v>03100S5820</v>
      </c>
      <c r="D51" s="202">
        <v>610</v>
      </c>
      <c r="E51" s="201" t="s">
        <v>115</v>
      </c>
      <c r="F51" s="43">
        <f>'приложение 4'!G440</f>
        <v>1850535.36</v>
      </c>
      <c r="G51" s="43">
        <f>'приложение 4'!H440</f>
        <v>1850535.36</v>
      </c>
      <c r="H51" s="43">
        <f>'приложение 4'!I440</f>
        <v>1850535</v>
      </c>
      <c r="I51" s="287">
        <f t="shared" si="2"/>
        <v>99.99998054617015</v>
      </c>
    </row>
    <row r="52" spans="1:9" x14ac:dyDescent="0.25">
      <c r="A52" s="136">
        <v>37</v>
      </c>
      <c r="B52" s="84" t="s">
        <v>134</v>
      </c>
      <c r="C52" s="39" t="s">
        <v>197</v>
      </c>
      <c r="D52" s="41"/>
      <c r="E52" s="42"/>
      <c r="F52" s="35">
        <f>F53+F54+F55+F56+F57+F58+F59+F60+F61+F62+F65+F70+F75+F64+F73+F71+F76+F74+F66+F67+F68+F72+F69</f>
        <v>526331671.63000005</v>
      </c>
      <c r="G52" s="35">
        <f t="shared" ref="G52:H52" si="11">G53+G54+G55+G56+G57+G58+G59+G60+G61+G62+G65+G70+G75+G64+G73+G71+G76+G74+G66+G67+G68+G72+G69</f>
        <v>524269314.43000007</v>
      </c>
      <c r="H52" s="35">
        <f t="shared" si="11"/>
        <v>508578021.78000003</v>
      </c>
      <c r="I52" s="287">
        <f t="shared" si="2"/>
        <v>97.007016772084015</v>
      </c>
    </row>
    <row r="53" spans="1:9" ht="60" x14ac:dyDescent="0.25">
      <c r="A53" s="136">
        <v>38</v>
      </c>
      <c r="B53" s="48" t="s">
        <v>332</v>
      </c>
      <c r="C53" s="28" t="str">
        <f>'приложение 4'!E464</f>
        <v>0320000610</v>
      </c>
      <c r="D53" s="28">
        <v>610</v>
      </c>
      <c r="E53" s="29" t="s">
        <v>116</v>
      </c>
      <c r="F53" s="27">
        <f>'приложение 4'!G466</f>
        <v>195238540</v>
      </c>
      <c r="G53" s="27">
        <f>'приложение 4'!H466</f>
        <v>195238540</v>
      </c>
      <c r="H53" s="27">
        <f>'приложение 4'!I466</f>
        <v>187581101.36000001</v>
      </c>
      <c r="I53" s="287">
        <f t="shared" si="2"/>
        <v>96.077906216672176</v>
      </c>
    </row>
    <row r="54" spans="1:9" ht="45" x14ac:dyDescent="0.25">
      <c r="A54" s="171">
        <v>39</v>
      </c>
      <c r="B54" s="175" t="s">
        <v>457</v>
      </c>
      <c r="C54" s="169" t="str">
        <f>'приложение 4'!E472</f>
        <v>03200L3030</v>
      </c>
      <c r="D54" s="171">
        <v>610</v>
      </c>
      <c r="E54" s="169" t="s">
        <v>116</v>
      </c>
      <c r="F54" s="27">
        <f>'приложение 4'!G472</f>
        <v>32613100</v>
      </c>
      <c r="G54" s="27">
        <f>'приложение 4'!H472</f>
        <v>29231900</v>
      </c>
      <c r="H54" s="27">
        <f>'приложение 4'!I472</f>
        <v>29231361.530000001</v>
      </c>
      <c r="I54" s="287">
        <f t="shared" si="2"/>
        <v>99.998157937048234</v>
      </c>
    </row>
    <row r="55" spans="1:9" ht="90" x14ac:dyDescent="0.25">
      <c r="A55" s="136">
        <v>40</v>
      </c>
      <c r="B55" s="55" t="s">
        <v>333</v>
      </c>
      <c r="C55" s="28" t="str">
        <f>'приложение 4'!E481</f>
        <v>0320076490</v>
      </c>
      <c r="D55" s="28">
        <v>610</v>
      </c>
      <c r="E55" s="29" t="s">
        <v>116</v>
      </c>
      <c r="F55" s="27">
        <f>'приложение 4'!G481</f>
        <v>3998000</v>
      </c>
      <c r="G55" s="27">
        <f>'приложение 4'!H481</f>
        <v>2948500</v>
      </c>
      <c r="H55" s="27">
        <f>'приложение 4'!I481</f>
        <v>2948481.28</v>
      </c>
      <c r="I55" s="287">
        <f t="shared" si="2"/>
        <v>99.999365100898757</v>
      </c>
    </row>
    <row r="56" spans="1:9" ht="135" x14ac:dyDescent="0.25">
      <c r="A56" s="136">
        <v>41</v>
      </c>
      <c r="B56" s="53" t="s">
        <v>334</v>
      </c>
      <c r="C56" s="28" t="str">
        <f>'приложение 4'!E482</f>
        <v>0320074090</v>
      </c>
      <c r="D56" s="28">
        <v>610</v>
      </c>
      <c r="E56" s="29" t="s">
        <v>116</v>
      </c>
      <c r="F56" s="27">
        <f>'приложение 4'!G484</f>
        <v>42706700</v>
      </c>
      <c r="G56" s="27">
        <f>'приложение 4'!H484</f>
        <v>44153300</v>
      </c>
      <c r="H56" s="27">
        <f>'приложение 4'!I484</f>
        <v>44134954.460000001</v>
      </c>
      <c r="I56" s="287">
        <f t="shared" si="2"/>
        <v>99.9584503536542</v>
      </c>
    </row>
    <row r="57" spans="1:9" ht="75" x14ac:dyDescent="0.25">
      <c r="A57" s="136">
        <v>42</v>
      </c>
      <c r="B57" s="81" t="s">
        <v>358</v>
      </c>
      <c r="C57" s="29" t="str">
        <f>'приложение 4'!E488</f>
        <v>03200S5630</v>
      </c>
      <c r="D57" s="28">
        <v>610</v>
      </c>
      <c r="E57" s="29" t="s">
        <v>116</v>
      </c>
      <c r="F57" s="27">
        <f>'приложение 4'!G490</f>
        <v>2201710</v>
      </c>
      <c r="G57" s="27">
        <f>'приложение 4'!H490</f>
        <v>2201710</v>
      </c>
      <c r="H57" s="27">
        <f>'приложение 4'!I490</f>
        <v>2201709.6</v>
      </c>
      <c r="I57" s="287">
        <f t="shared" si="2"/>
        <v>99.999981832303078</v>
      </c>
    </row>
    <row r="58" spans="1:9" ht="55.5" customHeight="1" x14ac:dyDescent="0.25">
      <c r="A58" s="329">
        <v>43</v>
      </c>
      <c r="B58" s="337" t="s">
        <v>335</v>
      </c>
      <c r="C58" s="329" t="str">
        <f>'приложение 4'!E491</f>
        <v>0320075640</v>
      </c>
      <c r="D58" s="28">
        <v>610</v>
      </c>
      <c r="E58" s="29" t="s">
        <v>116</v>
      </c>
      <c r="F58" s="27">
        <f>'приложение 4'!G493</f>
        <v>174832000</v>
      </c>
      <c r="G58" s="27">
        <f>'приложение 4'!H493</f>
        <v>178170200</v>
      </c>
      <c r="H58" s="27">
        <f>'приложение 4'!I493</f>
        <v>178103362</v>
      </c>
      <c r="I58" s="287">
        <f t="shared" si="2"/>
        <v>99.962486431513241</v>
      </c>
    </row>
    <row r="59" spans="1:9" ht="88.5" customHeight="1" x14ac:dyDescent="0.25">
      <c r="A59" s="329"/>
      <c r="B59" s="337"/>
      <c r="C59" s="329"/>
      <c r="D59" s="28">
        <v>610</v>
      </c>
      <c r="E59" s="29" t="s">
        <v>165</v>
      </c>
      <c r="F59" s="27">
        <f>'приложение 4'!G525</f>
        <v>2326600</v>
      </c>
      <c r="G59" s="27">
        <f>'приложение 4'!H525</f>
        <v>3236600</v>
      </c>
      <c r="H59" s="27">
        <f>'приложение 4'!I525</f>
        <v>3217815.58</v>
      </c>
      <c r="I59" s="287">
        <f t="shared" si="2"/>
        <v>99.419624915034305</v>
      </c>
    </row>
    <row r="60" spans="1:9" ht="82.5" customHeight="1" x14ac:dyDescent="0.25">
      <c r="A60" s="153">
        <v>44</v>
      </c>
      <c r="B60" s="185" t="str">
        <f>'приложение 4'!B485</f>
        <v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0" s="183" t="str">
        <f>'приложение 4'!E485</f>
        <v>03200S5620</v>
      </c>
      <c r="D60" s="184">
        <f>'приложение 4'!F487</f>
        <v>610</v>
      </c>
      <c r="E60" s="183" t="str">
        <f>'приложение 4'!D487</f>
        <v>0702</v>
      </c>
      <c r="F60" s="27">
        <f>'приложение 4'!G487</f>
        <v>33912798.939999998</v>
      </c>
      <c r="G60" s="27">
        <f>'приложение 4'!H487</f>
        <v>33912798.939999998</v>
      </c>
      <c r="H60" s="27">
        <f>'приложение 4'!I487</f>
        <v>32036000.850000001</v>
      </c>
      <c r="I60" s="287">
        <f t="shared" si="2"/>
        <v>94.465811880285941</v>
      </c>
    </row>
    <row r="61" spans="1:9" ht="72.75" customHeight="1" x14ac:dyDescent="0.25">
      <c r="A61" s="151">
        <v>45</v>
      </c>
      <c r="B61" s="152" t="s">
        <v>447</v>
      </c>
      <c r="C61" s="150" t="str">
        <f>'приложение 4'!E512</f>
        <v>0320088270</v>
      </c>
      <c r="D61" s="151">
        <v>610</v>
      </c>
      <c r="E61" s="150" t="s">
        <v>116</v>
      </c>
      <c r="F61" s="27">
        <f>'приложение 4'!G512</f>
        <v>480000</v>
      </c>
      <c r="G61" s="27">
        <f>'приложение 4'!H512</f>
        <v>480000</v>
      </c>
      <c r="H61" s="27">
        <f>'приложение 4'!I512</f>
        <v>480000</v>
      </c>
      <c r="I61" s="287">
        <f t="shared" si="2"/>
        <v>100</v>
      </c>
    </row>
    <row r="62" spans="1:9" ht="55.5" customHeight="1" x14ac:dyDescent="0.25">
      <c r="A62" s="342">
        <v>46</v>
      </c>
      <c r="B62" s="359" t="s">
        <v>491</v>
      </c>
      <c r="C62" s="346" t="str">
        <f>'приложение 4'!E494</f>
        <v>032Е151720</v>
      </c>
      <c r="D62" s="342">
        <v>610</v>
      </c>
      <c r="E62" s="346" t="s">
        <v>116</v>
      </c>
      <c r="F62" s="325">
        <f>'приложение 4'!G496</f>
        <v>3142059.7600000007</v>
      </c>
      <c r="G62" s="325">
        <f>'приложение 4'!H496</f>
        <v>3142059.76</v>
      </c>
      <c r="H62" s="325">
        <f>'приложение 4'!I496</f>
        <v>3142059.76</v>
      </c>
      <c r="I62" s="322">
        <f t="shared" si="2"/>
        <v>100</v>
      </c>
    </row>
    <row r="63" spans="1:9" ht="72.75" customHeight="1" x14ac:dyDescent="0.25">
      <c r="A63" s="344"/>
      <c r="B63" s="360"/>
      <c r="C63" s="348"/>
      <c r="D63" s="344"/>
      <c r="E63" s="348"/>
      <c r="F63" s="326"/>
      <c r="G63" s="326"/>
      <c r="H63" s="326"/>
      <c r="I63" s="323"/>
    </row>
    <row r="64" spans="1:9" ht="93" customHeight="1" x14ac:dyDescent="0.25">
      <c r="A64" s="217">
        <v>47</v>
      </c>
      <c r="B64" s="221" t="s">
        <v>504</v>
      </c>
      <c r="C64" s="216" t="str">
        <f>'приложение 4'!E475</f>
        <v>0320015210</v>
      </c>
      <c r="D64" s="217">
        <v>610</v>
      </c>
      <c r="E64" s="216" t="s">
        <v>116</v>
      </c>
      <c r="F64" s="218">
        <f>'приложение 4'!G475</f>
        <v>2727273</v>
      </c>
      <c r="G64" s="218">
        <f>'приложение 4'!H475</f>
        <v>2727273</v>
      </c>
      <c r="H64" s="218">
        <f>'приложение 4'!I475</f>
        <v>2727273</v>
      </c>
      <c r="I64" s="287">
        <f t="shared" si="2"/>
        <v>100</v>
      </c>
    </row>
    <row r="65" spans="1:9" ht="95.25" customHeight="1" x14ac:dyDescent="0.25">
      <c r="A65" s="276">
        <v>48</v>
      </c>
      <c r="B65" s="279" t="s">
        <v>338</v>
      </c>
      <c r="C65" s="276" t="str">
        <f>'приложение 4'!E557</f>
        <v>0320075660</v>
      </c>
      <c r="D65" s="28">
        <v>610</v>
      </c>
      <c r="E65" s="281" t="s">
        <v>126</v>
      </c>
      <c r="F65" s="27">
        <f>'приложение 4'!G559</f>
        <v>7700400</v>
      </c>
      <c r="G65" s="27">
        <f>'приложение 4'!H559</f>
        <v>7700400</v>
      </c>
      <c r="H65" s="27">
        <f>'приложение 4'!I559</f>
        <v>2801407.2</v>
      </c>
      <c r="I65" s="287">
        <f t="shared" si="2"/>
        <v>36.380021817048473</v>
      </c>
    </row>
    <row r="66" spans="1:9" ht="81.75" customHeight="1" x14ac:dyDescent="0.25">
      <c r="A66" s="234">
        <v>49</v>
      </c>
      <c r="B66" s="239" t="s">
        <v>550</v>
      </c>
      <c r="C66" s="237" t="s">
        <v>546</v>
      </c>
      <c r="D66" s="238">
        <v>610</v>
      </c>
      <c r="E66" s="237" t="s">
        <v>116</v>
      </c>
      <c r="F66" s="27">
        <f>'приложение 4'!G500</f>
        <v>2218554.7300000004</v>
      </c>
      <c r="G66" s="27">
        <f>'приложение 4'!H500</f>
        <v>2218554.73</v>
      </c>
      <c r="H66" s="27">
        <f>'приложение 4'!I500</f>
        <v>2089265.84</v>
      </c>
      <c r="I66" s="287">
        <f t="shared" si="2"/>
        <v>94.17238221569589</v>
      </c>
    </row>
    <row r="67" spans="1:9" ht="66" customHeight="1" x14ac:dyDescent="0.25">
      <c r="A67" s="234">
        <v>50</v>
      </c>
      <c r="B67" s="247" t="s">
        <v>570</v>
      </c>
      <c r="C67" s="237" t="s">
        <v>542</v>
      </c>
      <c r="D67" s="238">
        <v>610</v>
      </c>
      <c r="E67" s="237" t="s">
        <v>116</v>
      </c>
      <c r="F67" s="27">
        <f>'приложение 4'!G503</f>
        <v>800000</v>
      </c>
      <c r="G67" s="27">
        <f>'приложение 4'!H503</f>
        <v>800000</v>
      </c>
      <c r="H67" s="27">
        <f>'приложение 4'!I503</f>
        <v>799999.68</v>
      </c>
      <c r="I67" s="287">
        <f t="shared" si="2"/>
        <v>99.999960000000016</v>
      </c>
    </row>
    <row r="68" spans="1:9" ht="84.75" customHeight="1" x14ac:dyDescent="0.25">
      <c r="A68" s="234">
        <v>51</v>
      </c>
      <c r="B68" s="239" t="s">
        <v>551</v>
      </c>
      <c r="C68" s="237" t="s">
        <v>547</v>
      </c>
      <c r="D68" s="238">
        <v>610</v>
      </c>
      <c r="E68" s="237" t="s">
        <v>116</v>
      </c>
      <c r="F68" s="125">
        <f>'приложение 4'!G506</f>
        <v>400000</v>
      </c>
      <c r="G68" s="125">
        <f>'приложение 4'!H506</f>
        <v>400000</v>
      </c>
      <c r="H68" s="125">
        <f>'приложение 4'!I506</f>
        <v>400000</v>
      </c>
      <c r="I68" s="287">
        <f t="shared" si="2"/>
        <v>100</v>
      </c>
    </row>
    <row r="69" spans="1:9" ht="84.75" customHeight="1" x14ac:dyDescent="0.25">
      <c r="A69" s="261">
        <v>52</v>
      </c>
      <c r="B69" s="266" t="str">
        <f>'приложение 4'!B509</f>
        <v>Приведение муниципальных общеобразовательных учреждений в соответствие с требованиями санитарных норм и правил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v>
      </c>
      <c r="C69" s="258" t="str">
        <f>'приложение 4'!E509</f>
        <v>0320088150</v>
      </c>
      <c r="D69" s="271">
        <f>'приложение 4'!F511</f>
        <v>610</v>
      </c>
      <c r="E69" s="258" t="str">
        <f>'приложение 4'!D509</f>
        <v>0702</v>
      </c>
      <c r="F69" s="274">
        <f>'приложение 4'!G509</f>
        <v>2300000</v>
      </c>
      <c r="G69" s="274">
        <f>'приложение 4'!H509</f>
        <v>2300000</v>
      </c>
      <c r="H69" s="274">
        <f>'приложение 4'!I509</f>
        <v>2177325.9700000002</v>
      </c>
      <c r="I69" s="287">
        <f t="shared" si="2"/>
        <v>94.666346521739143</v>
      </c>
    </row>
    <row r="70" spans="1:9" ht="73.5" customHeight="1" x14ac:dyDescent="0.25">
      <c r="A70" s="342">
        <v>53</v>
      </c>
      <c r="B70" s="349" t="s">
        <v>412</v>
      </c>
      <c r="C70" s="110" t="str">
        <f>'приложение 4'!E560</f>
        <v>03200L3040</v>
      </c>
      <c r="D70" s="109">
        <v>610</v>
      </c>
      <c r="E70" s="110" t="s">
        <v>126</v>
      </c>
      <c r="F70" s="27">
        <f>'приложение 4'!G560</f>
        <v>10397548.85</v>
      </c>
      <c r="G70" s="27">
        <f>'приложение 4'!H560</f>
        <v>7297548.8499999996</v>
      </c>
      <c r="H70" s="27">
        <f>'приложение 4'!I560</f>
        <v>7045121.6900000004</v>
      </c>
      <c r="I70" s="287">
        <f t="shared" si="2"/>
        <v>96.540932233704751</v>
      </c>
    </row>
    <row r="71" spans="1:9" ht="51.75" customHeight="1" x14ac:dyDescent="0.25">
      <c r="A71" s="344"/>
      <c r="B71" s="351"/>
      <c r="C71" s="226" t="s">
        <v>533</v>
      </c>
      <c r="D71" s="222">
        <v>610</v>
      </c>
      <c r="E71" s="226" t="s">
        <v>126</v>
      </c>
      <c r="F71" s="27">
        <f>'приложение 4'!G564</f>
        <v>48.75</v>
      </c>
      <c r="G71" s="27">
        <f>'приложение 4'!H564</f>
        <v>48.75</v>
      </c>
      <c r="H71" s="27">
        <f>'приложение 4'!I564</f>
        <v>0</v>
      </c>
      <c r="I71" s="287">
        <f t="shared" si="2"/>
        <v>0</v>
      </c>
    </row>
    <row r="72" spans="1:9" ht="112.5" customHeight="1" x14ac:dyDescent="0.25">
      <c r="A72" s="262">
        <v>54</v>
      </c>
      <c r="B72" s="264" t="str">
        <f>'приложение 4'!B467</f>
        <v>Ежемесячное денежное вознаграждение советникам директора по воспитанию и взаимодействию с детскими общественными объединениями государстенных и муниципальных общеобразовательных организаций, профессиональных образовательных организаций в рамках подпрограммы "Равитие общего образования" муниципальной программы Мотыгинского района "Развитие общего и дополнительного образования в Мотыгинском районе"</v>
      </c>
      <c r="C72" s="269" t="str">
        <f>'приложение 4'!E467</f>
        <v>03200L0500</v>
      </c>
      <c r="D72" s="259">
        <f>'приложение 4'!F469</f>
        <v>610</v>
      </c>
      <c r="E72" s="260" t="s">
        <v>116</v>
      </c>
      <c r="F72" s="27">
        <f>'приложение 4'!G469</f>
        <v>279800</v>
      </c>
      <c r="G72" s="27">
        <f>'приложение 4'!H469</f>
        <v>264268</v>
      </c>
      <c r="H72" s="27">
        <f>'приложение 4'!I469</f>
        <v>248625.4</v>
      </c>
      <c r="I72" s="287">
        <f t="shared" si="2"/>
        <v>94.080781630768769</v>
      </c>
    </row>
    <row r="73" spans="1:9" ht="53.25" customHeight="1" x14ac:dyDescent="0.25">
      <c r="A73" s="342">
        <v>55</v>
      </c>
      <c r="B73" s="363" t="s">
        <v>506</v>
      </c>
      <c r="C73" s="346"/>
      <c r="D73" s="220">
        <v>610</v>
      </c>
      <c r="E73" s="219" t="s">
        <v>126</v>
      </c>
      <c r="F73" s="27">
        <f>'приложение 4'!G570</f>
        <v>1095997.6000000001</v>
      </c>
      <c r="G73" s="27">
        <f>'приложение 4'!H570</f>
        <v>1095997.6000000001</v>
      </c>
      <c r="H73" s="27">
        <f>'приложение 4'!I570</f>
        <v>576702.1</v>
      </c>
      <c r="I73" s="287">
        <f t="shared" si="2"/>
        <v>52.618919968437879</v>
      </c>
    </row>
    <row r="74" spans="1:9" ht="33.75" customHeight="1" x14ac:dyDescent="0.25">
      <c r="A74" s="344"/>
      <c r="B74" s="364"/>
      <c r="C74" s="348"/>
      <c r="D74" s="231">
        <v>320</v>
      </c>
      <c r="E74" s="230" t="s">
        <v>126</v>
      </c>
      <c r="F74" s="27">
        <f>'приложение 4'!G568</f>
        <v>190000</v>
      </c>
      <c r="G74" s="27">
        <f>'приложение 4'!H568</f>
        <v>190000</v>
      </c>
      <c r="H74" s="27">
        <f>'приложение 4'!I568</f>
        <v>76853.87</v>
      </c>
      <c r="I74" s="287">
        <f t="shared" si="2"/>
        <v>40.449405263157892</v>
      </c>
    </row>
    <row r="75" spans="1:9" ht="60.75" customHeight="1" x14ac:dyDescent="0.25">
      <c r="A75" s="203">
        <v>56</v>
      </c>
      <c r="B75" s="205" t="str">
        <f>'приложение 4'!B476</f>
        <v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75" s="201" t="str">
        <f>'приложение 4'!E476</f>
        <v>03200S8450</v>
      </c>
      <c r="D75" s="203">
        <v>610</v>
      </c>
      <c r="E75" s="201" t="s">
        <v>116</v>
      </c>
      <c r="F75" s="27">
        <f>'приложение 4'!G478</f>
        <v>3940000</v>
      </c>
      <c r="G75" s="27">
        <f>'приложение 4'!H478</f>
        <v>3940000</v>
      </c>
      <c r="H75" s="27">
        <f>'приложение 4'!I478</f>
        <v>3940000</v>
      </c>
      <c r="I75" s="287">
        <f t="shared" ref="I75:I137" si="12">H75/G75*100</f>
        <v>100</v>
      </c>
    </row>
    <row r="76" spans="1:9" ht="60.75" customHeight="1" x14ac:dyDescent="0.25">
      <c r="A76" s="231">
        <v>57</v>
      </c>
      <c r="B76" s="232" t="str">
        <f>'приложение 4'!B497</f>
        <v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C76" s="230" t="str">
        <f>'приложение 4'!E499</f>
        <v>032ЕВ51790</v>
      </c>
      <c r="D76" s="231">
        <v>610</v>
      </c>
      <c r="E76" s="230" t="s">
        <v>116</v>
      </c>
      <c r="F76" s="27">
        <f>'приложение 4'!G499</f>
        <v>2830540</v>
      </c>
      <c r="G76" s="27">
        <f>'приложение 4'!H499</f>
        <v>2619614.7999999998</v>
      </c>
      <c r="H76" s="27">
        <f>'приложение 4'!I499</f>
        <v>2618600.61</v>
      </c>
      <c r="I76" s="287">
        <f t="shared" si="12"/>
        <v>99.961284765989262</v>
      </c>
    </row>
    <row r="77" spans="1:9" x14ac:dyDescent="0.25">
      <c r="A77" s="136">
        <v>58</v>
      </c>
      <c r="B77" s="84" t="s">
        <v>135</v>
      </c>
      <c r="C77" s="39" t="s">
        <v>201</v>
      </c>
      <c r="D77" s="41"/>
      <c r="E77" s="42"/>
      <c r="F77" s="35">
        <f>F78+F79+F80+F81+F82+F84+F83</f>
        <v>40579088.139999993</v>
      </c>
      <c r="G77" s="35">
        <f t="shared" ref="G77:H77" si="13">G78+G79+G80+G81+G82+G84+G83</f>
        <v>40579088.140000001</v>
      </c>
      <c r="H77" s="35">
        <f t="shared" si="13"/>
        <v>39976823.049999997</v>
      </c>
      <c r="I77" s="287">
        <f t="shared" si="12"/>
        <v>98.515823993081966</v>
      </c>
    </row>
    <row r="78" spans="1:9" ht="60" x14ac:dyDescent="0.25">
      <c r="A78" s="136">
        <v>59</v>
      </c>
      <c r="B78" s="48" t="s">
        <v>339</v>
      </c>
      <c r="C78" s="28" t="str">
        <f>'приложение 4'!E527</f>
        <v>0330000660</v>
      </c>
      <c r="D78" s="28">
        <v>610</v>
      </c>
      <c r="E78" s="29" t="s">
        <v>165</v>
      </c>
      <c r="F78" s="27">
        <f>'приложение 4'!G529</f>
        <v>32861071.529999997</v>
      </c>
      <c r="G78" s="27">
        <f>'приложение 4'!H529</f>
        <v>32861071.530000001</v>
      </c>
      <c r="H78" s="27">
        <f>'приложение 4'!I529</f>
        <v>32403060.949999999</v>
      </c>
      <c r="I78" s="287">
        <f t="shared" si="12"/>
        <v>98.606221408264588</v>
      </c>
    </row>
    <row r="79" spans="1:9" x14ac:dyDescent="0.25">
      <c r="A79" s="342">
        <v>60</v>
      </c>
      <c r="B79" s="349" t="s">
        <v>441</v>
      </c>
      <c r="C79" s="346" t="s">
        <v>422</v>
      </c>
      <c r="D79" s="126">
        <v>610</v>
      </c>
      <c r="E79" s="127" t="s">
        <v>165</v>
      </c>
      <c r="F79" s="27">
        <f>'приложение 4'!G532</f>
        <v>5620566.6699999999</v>
      </c>
      <c r="G79" s="27">
        <f>'приложение 4'!H532</f>
        <v>5590068.6900000004</v>
      </c>
      <c r="H79" s="27">
        <f>'приложение 4'!I532</f>
        <v>5507614.1799999997</v>
      </c>
      <c r="I79" s="287">
        <f t="shared" si="12"/>
        <v>98.524982167974031</v>
      </c>
    </row>
    <row r="80" spans="1:9" x14ac:dyDescent="0.25">
      <c r="A80" s="343"/>
      <c r="B80" s="350"/>
      <c r="C80" s="347"/>
      <c r="D80" s="132">
        <v>620</v>
      </c>
      <c r="E80" s="131" t="s">
        <v>165</v>
      </c>
      <c r="F80" s="27">
        <f>'приложение 4'!G533</f>
        <v>20600</v>
      </c>
      <c r="G80" s="27">
        <f>'приложение 4'!H533</f>
        <v>20600</v>
      </c>
      <c r="H80" s="27">
        <f>'приложение 4'!I533</f>
        <v>0</v>
      </c>
      <c r="I80" s="287">
        <f t="shared" si="12"/>
        <v>0</v>
      </c>
    </row>
    <row r="81" spans="1:9" x14ac:dyDescent="0.25">
      <c r="A81" s="343"/>
      <c r="B81" s="350"/>
      <c r="C81" s="347"/>
      <c r="D81" s="132">
        <v>630</v>
      </c>
      <c r="E81" s="131" t="s">
        <v>165</v>
      </c>
      <c r="F81" s="27">
        <f>'приложение 4'!G534</f>
        <v>20600</v>
      </c>
      <c r="G81" s="27">
        <f>'приложение 4'!H534</f>
        <v>20600</v>
      </c>
      <c r="H81" s="27">
        <f>'приложение 4'!I534</f>
        <v>0</v>
      </c>
      <c r="I81" s="287">
        <f t="shared" si="12"/>
        <v>0</v>
      </c>
    </row>
    <row r="82" spans="1:9" x14ac:dyDescent="0.25">
      <c r="A82" s="344"/>
      <c r="B82" s="351"/>
      <c r="C82" s="348"/>
      <c r="D82" s="132">
        <v>810</v>
      </c>
      <c r="E82" s="131" t="s">
        <v>165</v>
      </c>
      <c r="F82" s="27">
        <f>'приложение 4'!G536</f>
        <v>20600</v>
      </c>
      <c r="G82" s="27">
        <f>'приложение 4'!H536</f>
        <v>20600</v>
      </c>
      <c r="H82" s="27">
        <f>'приложение 4'!I536</f>
        <v>0</v>
      </c>
      <c r="I82" s="287">
        <f t="shared" si="12"/>
        <v>0</v>
      </c>
    </row>
    <row r="83" spans="1:9" ht="62.25" customHeight="1" x14ac:dyDescent="0.25">
      <c r="A83" s="235">
        <v>61</v>
      </c>
      <c r="B83" s="250" t="s">
        <v>571</v>
      </c>
      <c r="C83" s="236" t="s">
        <v>545</v>
      </c>
      <c r="D83" s="238">
        <v>610</v>
      </c>
      <c r="E83" s="237" t="s">
        <v>165</v>
      </c>
      <c r="F83" s="27">
        <f>'приложение 4'!G537</f>
        <v>100000</v>
      </c>
      <c r="G83" s="27">
        <f>'приложение 4'!H537</f>
        <v>100000</v>
      </c>
      <c r="H83" s="27">
        <f>'приложение 4'!I537</f>
        <v>100000</v>
      </c>
      <c r="I83" s="287">
        <f t="shared" si="12"/>
        <v>100</v>
      </c>
    </row>
    <row r="84" spans="1:9" ht="98.25" customHeight="1" x14ac:dyDescent="0.25">
      <c r="A84" s="222">
        <v>62</v>
      </c>
      <c r="B84" s="228" t="s">
        <v>535</v>
      </c>
      <c r="C84" s="226" t="s">
        <v>534</v>
      </c>
      <c r="D84" s="227">
        <v>610</v>
      </c>
      <c r="E84" s="226" t="s">
        <v>165</v>
      </c>
      <c r="F84" s="27">
        <f>'приложение 4'!G540</f>
        <v>1935649.94</v>
      </c>
      <c r="G84" s="27">
        <f>'приложение 4'!H540</f>
        <v>1966147.92</v>
      </c>
      <c r="H84" s="27">
        <f>'приложение 4'!I540</f>
        <v>1966147.92</v>
      </c>
      <c r="I84" s="287">
        <f t="shared" si="12"/>
        <v>100</v>
      </c>
    </row>
    <row r="85" spans="1:9" x14ac:dyDescent="0.25">
      <c r="A85" s="136">
        <v>63</v>
      </c>
      <c r="B85" s="84" t="s">
        <v>54</v>
      </c>
      <c r="C85" s="51" t="s">
        <v>55</v>
      </c>
      <c r="D85" s="51"/>
      <c r="E85" s="39"/>
      <c r="F85" s="35">
        <f>F86+F87+F90+F91+F92+F93+F89+F88</f>
        <v>34618855</v>
      </c>
      <c r="G85" s="35">
        <f t="shared" ref="G85:H85" si="14">G86+G87+G90+G91+G92+G93+G89+G88</f>
        <v>32539755</v>
      </c>
      <c r="H85" s="35">
        <f t="shared" si="14"/>
        <v>32053011.850000001</v>
      </c>
      <c r="I85" s="287">
        <f t="shared" si="12"/>
        <v>98.504158528544551</v>
      </c>
    </row>
    <row r="86" spans="1:9" x14ac:dyDescent="0.25">
      <c r="A86" s="329">
        <v>64</v>
      </c>
      <c r="B86" s="330" t="s">
        <v>336</v>
      </c>
      <c r="C86" s="329" t="str">
        <f>'приложение 4'!E546</f>
        <v>0340000610</v>
      </c>
      <c r="D86" s="28">
        <v>110</v>
      </c>
      <c r="E86" s="29" t="s">
        <v>118</v>
      </c>
      <c r="F86" s="27">
        <f>'приложение 4'!G548</f>
        <v>24931685</v>
      </c>
      <c r="G86" s="27">
        <f>'приложение 4'!H548</f>
        <v>24931685</v>
      </c>
      <c r="H86" s="27">
        <f>'приложение 4'!I548</f>
        <v>24857829.91</v>
      </c>
      <c r="I86" s="287">
        <f t="shared" si="12"/>
        <v>99.703770162345634</v>
      </c>
    </row>
    <row r="87" spans="1:9" x14ac:dyDescent="0.25">
      <c r="A87" s="329"/>
      <c r="B87" s="330"/>
      <c r="C87" s="329"/>
      <c r="D87" s="28">
        <v>240</v>
      </c>
      <c r="E87" s="29" t="s">
        <v>118</v>
      </c>
      <c r="F87" s="27">
        <f>'приложение 4'!G550</f>
        <v>3097495.34</v>
      </c>
      <c r="G87" s="27">
        <f>'приложение 4'!H550</f>
        <v>3097495.34</v>
      </c>
      <c r="H87" s="27">
        <f>'приложение 4'!I550</f>
        <v>3056171.8</v>
      </c>
      <c r="I87" s="287">
        <f t="shared" si="12"/>
        <v>98.665904691885657</v>
      </c>
    </row>
    <row r="88" spans="1:9" x14ac:dyDescent="0.25">
      <c r="A88" s="329"/>
      <c r="B88" s="330"/>
      <c r="C88" s="329"/>
      <c r="D88" s="28">
        <v>830</v>
      </c>
      <c r="E88" s="29" t="s">
        <v>118</v>
      </c>
      <c r="F88" s="27">
        <v>0</v>
      </c>
      <c r="G88" s="27">
        <v>0</v>
      </c>
      <c r="H88" s="27">
        <v>0</v>
      </c>
      <c r="I88" s="287">
        <v>0</v>
      </c>
    </row>
    <row r="89" spans="1:9" x14ac:dyDescent="0.25">
      <c r="A89" s="329"/>
      <c r="B89" s="330"/>
      <c r="C89" s="329"/>
      <c r="D89" s="28">
        <v>850</v>
      </c>
      <c r="E89" s="29" t="s">
        <v>118</v>
      </c>
      <c r="F89" s="27">
        <f>'приложение 4'!G552</f>
        <v>87374.66</v>
      </c>
      <c r="G89" s="27">
        <f>'приложение 4'!H552</f>
        <v>87374.66</v>
      </c>
      <c r="H89" s="27">
        <f>'приложение 4'!I552</f>
        <v>81753.66</v>
      </c>
      <c r="I89" s="287">
        <f t="shared" si="12"/>
        <v>93.566784694784516</v>
      </c>
    </row>
    <row r="90" spans="1:9" x14ac:dyDescent="0.25">
      <c r="A90" s="329">
        <v>65</v>
      </c>
      <c r="B90" s="352" t="s">
        <v>147</v>
      </c>
      <c r="C90" s="329" t="str">
        <f>'приложение 4'!E304</f>
        <v>0340075520</v>
      </c>
      <c r="D90" s="28">
        <v>120</v>
      </c>
      <c r="E90" s="29" t="s">
        <v>118</v>
      </c>
      <c r="F90" s="27">
        <f>'приложение 4'!G306</f>
        <v>3296980</v>
      </c>
      <c r="G90" s="27">
        <f>'приложение 4'!H306</f>
        <v>3296980</v>
      </c>
      <c r="H90" s="27">
        <f>'приложение 4'!I306</f>
        <v>2951137.8</v>
      </c>
      <c r="I90" s="287">
        <f t="shared" si="12"/>
        <v>89.510333699324832</v>
      </c>
    </row>
    <row r="91" spans="1:9" ht="45.75" customHeight="1" x14ac:dyDescent="0.25">
      <c r="A91" s="329"/>
      <c r="B91" s="352"/>
      <c r="C91" s="329"/>
      <c r="D91" s="28">
        <v>240</v>
      </c>
      <c r="E91" s="29" t="s">
        <v>118</v>
      </c>
      <c r="F91" s="27">
        <f>'приложение 4'!G308</f>
        <v>626220</v>
      </c>
      <c r="G91" s="27">
        <f>'приложение 4'!H308</f>
        <v>626220</v>
      </c>
      <c r="H91" s="27">
        <f>'приложение 4'!I308</f>
        <v>625177.81000000006</v>
      </c>
      <c r="I91" s="287">
        <f t="shared" si="12"/>
        <v>99.833574462648926</v>
      </c>
    </row>
    <row r="92" spans="1:9" x14ac:dyDescent="0.25">
      <c r="A92" s="329">
        <v>66</v>
      </c>
      <c r="B92" s="337" t="s">
        <v>337</v>
      </c>
      <c r="C92" s="329" t="str">
        <f>'приложение 4'!E574</f>
        <v>0340075560</v>
      </c>
      <c r="D92" s="28">
        <v>320</v>
      </c>
      <c r="E92" s="29" t="s">
        <v>164</v>
      </c>
      <c r="F92" s="27">
        <f>'приложение 4'!G576</f>
        <v>2559100</v>
      </c>
      <c r="G92" s="27">
        <f>'приложение 4'!H576</f>
        <v>500000</v>
      </c>
      <c r="H92" s="27">
        <f>'приложение 4'!I576</f>
        <v>480940.87</v>
      </c>
      <c r="I92" s="287">
        <f t="shared" si="12"/>
        <v>96.188174000000004</v>
      </c>
    </row>
    <row r="93" spans="1:9" ht="89.25" customHeight="1" x14ac:dyDescent="0.25">
      <c r="A93" s="329"/>
      <c r="B93" s="337"/>
      <c r="C93" s="329"/>
      <c r="D93" s="28">
        <v>240</v>
      </c>
      <c r="E93" s="29" t="s">
        <v>164</v>
      </c>
      <c r="F93" s="27">
        <f>'приложение 4'!G578</f>
        <v>20000</v>
      </c>
      <c r="G93" s="27">
        <f>'приложение 4'!H578</f>
        <v>0</v>
      </c>
      <c r="H93" s="27">
        <f>'приложение 4'!I578</f>
        <v>0</v>
      </c>
      <c r="I93" s="287">
        <v>0</v>
      </c>
    </row>
    <row r="94" spans="1:9" ht="28.5" x14ac:dyDescent="0.25">
      <c r="A94" s="136">
        <v>67</v>
      </c>
      <c r="B94" s="70" t="s">
        <v>218</v>
      </c>
      <c r="C94" s="42" t="s">
        <v>208</v>
      </c>
      <c r="D94" s="28"/>
      <c r="E94" s="29"/>
      <c r="F94" s="44">
        <f>F95+F99+F102</f>
        <v>11556700.199999999</v>
      </c>
      <c r="G94" s="44">
        <f>G95+G99+G102</f>
        <v>11556700.199999999</v>
      </c>
      <c r="H94" s="44">
        <f>H95+H99+H102</f>
        <v>10374106.15</v>
      </c>
      <c r="I94" s="287">
        <f t="shared" si="12"/>
        <v>89.767026663891485</v>
      </c>
    </row>
    <row r="95" spans="1:9" ht="30" x14ac:dyDescent="0.25">
      <c r="A95" s="136">
        <v>68</v>
      </c>
      <c r="B95" s="84" t="s">
        <v>297</v>
      </c>
      <c r="C95" s="39" t="s">
        <v>239</v>
      </c>
      <c r="D95" s="41"/>
      <c r="E95" s="42"/>
      <c r="F95" s="35">
        <f>F96+F98+F97</f>
        <v>11192100.199999999</v>
      </c>
      <c r="G95" s="35">
        <f t="shared" ref="G95:H95" si="15">G96+G98+G97</f>
        <v>11192100.199999999</v>
      </c>
      <c r="H95" s="35">
        <f t="shared" si="15"/>
        <v>10009801.189999999</v>
      </c>
      <c r="I95" s="287">
        <f t="shared" si="12"/>
        <v>89.436307852211698</v>
      </c>
    </row>
    <row r="96" spans="1:9" ht="66.75" customHeight="1" x14ac:dyDescent="0.25">
      <c r="A96" s="136">
        <v>69</v>
      </c>
      <c r="B96" s="59" t="s">
        <v>341</v>
      </c>
      <c r="C96" s="29" t="s">
        <v>298</v>
      </c>
      <c r="D96" s="28">
        <v>610</v>
      </c>
      <c r="E96" s="29" t="s">
        <v>117</v>
      </c>
      <c r="F96" s="43">
        <f>'приложение 4'!G595</f>
        <v>10588700.199999999</v>
      </c>
      <c r="G96" s="43">
        <f>'приложение 4'!H595</f>
        <v>10588700.199999999</v>
      </c>
      <c r="H96" s="43">
        <f>'приложение 4'!I595</f>
        <v>9406718.9399999995</v>
      </c>
      <c r="I96" s="287">
        <f t="shared" si="12"/>
        <v>88.837333783423205</v>
      </c>
    </row>
    <row r="97" spans="1:9" ht="31.5" customHeight="1" x14ac:dyDescent="0.25">
      <c r="A97" s="136">
        <v>70</v>
      </c>
      <c r="B97" s="129" t="s">
        <v>438</v>
      </c>
      <c r="C97" s="34" t="s">
        <v>427</v>
      </c>
      <c r="D97" s="126">
        <v>540</v>
      </c>
      <c r="E97" s="127" t="s">
        <v>117</v>
      </c>
      <c r="F97" s="43">
        <f>'приложение 4'!G87</f>
        <v>100000</v>
      </c>
      <c r="G97" s="43">
        <f>'приложение 4'!H87</f>
        <v>100000</v>
      </c>
      <c r="H97" s="43">
        <f>'приложение 4'!I87</f>
        <v>99682.25</v>
      </c>
      <c r="I97" s="287">
        <f t="shared" si="12"/>
        <v>99.682249999999996</v>
      </c>
    </row>
    <row r="98" spans="1:9" ht="60" x14ac:dyDescent="0.25">
      <c r="A98" s="136">
        <v>71</v>
      </c>
      <c r="B98" s="81" t="s">
        <v>356</v>
      </c>
      <c r="C98" s="29" t="s">
        <v>299</v>
      </c>
      <c r="D98" s="28">
        <v>610</v>
      </c>
      <c r="E98" s="29" t="s">
        <v>117</v>
      </c>
      <c r="F98" s="43">
        <f>'приложение 4'!G598</f>
        <v>503400</v>
      </c>
      <c r="G98" s="43">
        <f>'приложение 4'!H598</f>
        <v>503400</v>
      </c>
      <c r="H98" s="43">
        <f>'приложение 4'!I598</f>
        <v>503400</v>
      </c>
      <c r="I98" s="287">
        <f t="shared" si="12"/>
        <v>100</v>
      </c>
    </row>
    <row r="99" spans="1:9" ht="30" x14ac:dyDescent="0.25">
      <c r="A99" s="136">
        <v>72</v>
      </c>
      <c r="B99" s="49" t="s">
        <v>303</v>
      </c>
      <c r="C99" s="39" t="s">
        <v>209</v>
      </c>
      <c r="D99" s="41"/>
      <c r="E99" s="42"/>
      <c r="F99" s="35">
        <f t="shared" ref="F99:G99" si="16">F100+F101</f>
        <v>294600</v>
      </c>
      <c r="G99" s="35">
        <f t="shared" si="16"/>
        <v>294600</v>
      </c>
      <c r="H99" s="35">
        <f t="shared" ref="H99" si="17">H100+H101</f>
        <v>294306</v>
      </c>
      <c r="I99" s="287">
        <f t="shared" si="12"/>
        <v>99.900203665987775</v>
      </c>
    </row>
    <row r="100" spans="1:9" ht="75" x14ac:dyDescent="0.25">
      <c r="A100" s="136">
        <v>73</v>
      </c>
      <c r="B100" s="47" t="s">
        <v>342</v>
      </c>
      <c r="C100" s="29" t="s">
        <v>301</v>
      </c>
      <c r="D100" s="28">
        <v>610</v>
      </c>
      <c r="E100" s="29" t="s">
        <v>117</v>
      </c>
      <c r="F100" s="27">
        <f>'приложение 4'!G602</f>
        <v>72600</v>
      </c>
      <c r="G100" s="27">
        <f>'приложение 4'!H602</f>
        <v>72600</v>
      </c>
      <c r="H100" s="27">
        <f>'приложение 4'!I602</f>
        <v>72306</v>
      </c>
      <c r="I100" s="287">
        <f t="shared" si="12"/>
        <v>99.595041322314046</v>
      </c>
    </row>
    <row r="101" spans="1:9" ht="66" customHeight="1" x14ac:dyDescent="0.25">
      <c r="A101" s="136">
        <v>74</v>
      </c>
      <c r="B101" s="124" t="s">
        <v>421</v>
      </c>
      <c r="C101" s="122" t="s">
        <v>419</v>
      </c>
      <c r="D101" s="123">
        <v>610</v>
      </c>
      <c r="E101" s="122" t="s">
        <v>117</v>
      </c>
      <c r="F101" s="27">
        <f>'приложение 4'!G603</f>
        <v>222000</v>
      </c>
      <c r="G101" s="27">
        <f>'приложение 4'!H603</f>
        <v>222000</v>
      </c>
      <c r="H101" s="27">
        <f>'приложение 4'!I603</f>
        <v>222000</v>
      </c>
      <c r="I101" s="287">
        <f t="shared" si="12"/>
        <v>100</v>
      </c>
    </row>
    <row r="102" spans="1:9" ht="45" x14ac:dyDescent="0.25">
      <c r="A102" s="136">
        <v>75</v>
      </c>
      <c r="B102" s="49" t="s">
        <v>305</v>
      </c>
      <c r="C102" s="39" t="s">
        <v>240</v>
      </c>
      <c r="D102" s="28"/>
      <c r="E102" s="29"/>
      <c r="F102" s="35">
        <f t="shared" ref="F102:H102" si="18">F103</f>
        <v>70000</v>
      </c>
      <c r="G102" s="35">
        <f t="shared" si="18"/>
        <v>70000</v>
      </c>
      <c r="H102" s="35">
        <f t="shared" si="18"/>
        <v>69998.960000000006</v>
      </c>
      <c r="I102" s="287">
        <f t="shared" si="12"/>
        <v>99.998514285714293</v>
      </c>
    </row>
    <row r="103" spans="1:9" ht="105" x14ac:dyDescent="0.25">
      <c r="A103" s="136">
        <v>76</v>
      </c>
      <c r="B103" s="47" t="s">
        <v>343</v>
      </c>
      <c r="C103" s="29" t="s">
        <v>302</v>
      </c>
      <c r="D103" s="28">
        <v>610</v>
      </c>
      <c r="E103" s="29" t="s">
        <v>117</v>
      </c>
      <c r="F103" s="27">
        <f>'приложение 4'!G609</f>
        <v>70000</v>
      </c>
      <c r="G103" s="27">
        <f>'приложение 4'!H609</f>
        <v>70000</v>
      </c>
      <c r="H103" s="27">
        <f>'приложение 4'!I609</f>
        <v>69998.960000000006</v>
      </c>
      <c r="I103" s="287">
        <f t="shared" si="12"/>
        <v>99.998514285714293</v>
      </c>
    </row>
    <row r="104" spans="1:9" ht="45" customHeight="1" x14ac:dyDescent="0.25">
      <c r="A104" s="136">
        <v>77</v>
      </c>
      <c r="B104" s="70" t="s">
        <v>219</v>
      </c>
      <c r="C104" s="42" t="s">
        <v>166</v>
      </c>
      <c r="D104" s="41"/>
      <c r="E104" s="42"/>
      <c r="F104" s="44">
        <f t="shared" ref="F104:H104" si="19">F105+F109</f>
        <v>180061691.51000002</v>
      </c>
      <c r="G104" s="44">
        <f t="shared" si="19"/>
        <v>180061691.50999999</v>
      </c>
      <c r="H104" s="44">
        <f t="shared" si="19"/>
        <v>179853537.72999999</v>
      </c>
      <c r="I104" s="287">
        <f t="shared" si="12"/>
        <v>99.884398631238867</v>
      </c>
    </row>
    <row r="105" spans="1:9" ht="60" x14ac:dyDescent="0.25">
      <c r="A105" s="136">
        <v>78</v>
      </c>
      <c r="B105" s="182" t="s">
        <v>26</v>
      </c>
      <c r="C105" s="39" t="s">
        <v>172</v>
      </c>
      <c r="D105" s="41"/>
      <c r="E105" s="42"/>
      <c r="F105" s="35">
        <f t="shared" ref="F105:G105" si="20">F106+F107+F108</f>
        <v>160659173.45000002</v>
      </c>
      <c r="G105" s="35">
        <f t="shared" si="20"/>
        <v>160659173.44999999</v>
      </c>
      <c r="H105" s="35">
        <f t="shared" ref="H105" si="21">H106+H107+H108</f>
        <v>160659173.44999999</v>
      </c>
      <c r="I105" s="287">
        <f t="shared" si="12"/>
        <v>100</v>
      </c>
    </row>
    <row r="106" spans="1:9" ht="120" x14ac:dyDescent="0.25">
      <c r="A106" s="136">
        <v>79</v>
      </c>
      <c r="B106" s="74" t="s">
        <v>395</v>
      </c>
      <c r="C106" s="28" t="str">
        <f>'приложение 4'!E105</f>
        <v>0510076010</v>
      </c>
      <c r="D106" s="28">
        <v>510</v>
      </c>
      <c r="E106" s="29" t="s">
        <v>129</v>
      </c>
      <c r="F106" s="27">
        <f>'приложение 4'!G107</f>
        <v>15291000</v>
      </c>
      <c r="G106" s="27">
        <f>'приложение 4'!H107</f>
        <v>15291000</v>
      </c>
      <c r="H106" s="27">
        <f>'приложение 4'!I107</f>
        <v>15291000</v>
      </c>
      <c r="I106" s="287">
        <f t="shared" si="12"/>
        <v>100</v>
      </c>
    </row>
    <row r="107" spans="1:9" ht="90" x14ac:dyDescent="0.25">
      <c r="A107" s="136">
        <v>80</v>
      </c>
      <c r="B107" s="52" t="s">
        <v>366</v>
      </c>
      <c r="C107" s="28" t="str">
        <f>'приложение 4'!E108</f>
        <v>0510050010</v>
      </c>
      <c r="D107" s="28">
        <v>510</v>
      </c>
      <c r="E107" s="29" t="s">
        <v>129</v>
      </c>
      <c r="F107" s="27">
        <f>'приложение 4'!G110</f>
        <v>19630997.68</v>
      </c>
      <c r="G107" s="27">
        <f>'приложение 4'!H110</f>
        <v>19630997.68</v>
      </c>
      <c r="H107" s="27">
        <f>'приложение 4'!I110</f>
        <v>19630997.68</v>
      </c>
      <c r="I107" s="287">
        <f t="shared" si="12"/>
        <v>100</v>
      </c>
    </row>
    <row r="108" spans="1:9" ht="105" x14ac:dyDescent="0.25">
      <c r="A108" s="136">
        <v>81</v>
      </c>
      <c r="B108" s="74" t="s">
        <v>396</v>
      </c>
      <c r="C108" s="28" t="str">
        <f>'приложение 4'!E114</f>
        <v>0510050030</v>
      </c>
      <c r="D108" s="28">
        <v>540</v>
      </c>
      <c r="E108" s="29" t="s">
        <v>130</v>
      </c>
      <c r="F108" s="27">
        <f>'приложение 4'!G116</f>
        <v>125737175.77000001</v>
      </c>
      <c r="G108" s="27">
        <f>'приложение 4'!H116</f>
        <v>125737175.77</v>
      </c>
      <c r="H108" s="27">
        <f>'приложение 4'!I116</f>
        <v>125737175.77</v>
      </c>
      <c r="I108" s="287">
        <f t="shared" si="12"/>
        <v>100</v>
      </c>
    </row>
    <row r="109" spans="1:9" ht="30" x14ac:dyDescent="0.25">
      <c r="A109" s="136">
        <v>82</v>
      </c>
      <c r="B109" s="84" t="s">
        <v>13</v>
      </c>
      <c r="C109" s="39" t="s">
        <v>167</v>
      </c>
      <c r="D109" s="41"/>
      <c r="E109" s="42"/>
      <c r="F109" s="35">
        <f>F110+F111+F112+F113+F114</f>
        <v>19402518.059999999</v>
      </c>
      <c r="G109" s="35">
        <f t="shared" ref="G109:H109" si="22">G110+G111+G112+G113+G114</f>
        <v>19402518.059999999</v>
      </c>
      <c r="H109" s="35">
        <f t="shared" si="22"/>
        <v>19194364.280000001</v>
      </c>
      <c r="I109" s="287">
        <f t="shared" si="12"/>
        <v>98.927181619641814</v>
      </c>
    </row>
    <row r="110" spans="1:9" x14ac:dyDescent="0.25">
      <c r="A110" s="329">
        <v>83</v>
      </c>
      <c r="B110" s="354" t="s">
        <v>362</v>
      </c>
      <c r="C110" s="329" t="str">
        <f>'приложение 4'!E17</f>
        <v>0520000210</v>
      </c>
      <c r="D110" s="28">
        <v>120</v>
      </c>
      <c r="E110" s="29" t="s">
        <v>91</v>
      </c>
      <c r="F110" s="27">
        <f>'приложение 4'!G19</f>
        <v>14565033.029999999</v>
      </c>
      <c r="G110" s="27">
        <f>'приложение 4'!H19</f>
        <v>14565033.029999999</v>
      </c>
      <c r="H110" s="27">
        <f>'приложение 4'!I19</f>
        <v>14369426.74</v>
      </c>
      <c r="I110" s="287">
        <f t="shared" si="12"/>
        <v>98.657014442760939</v>
      </c>
    </row>
    <row r="111" spans="1:9" x14ac:dyDescent="0.25">
      <c r="A111" s="329"/>
      <c r="B111" s="354"/>
      <c r="C111" s="329"/>
      <c r="D111" s="28">
        <v>240</v>
      </c>
      <c r="E111" s="29" t="s">
        <v>91</v>
      </c>
      <c r="F111" s="27">
        <f>'приложение 4'!G21</f>
        <v>1953029</v>
      </c>
      <c r="G111" s="27">
        <f>'приложение 4'!H21</f>
        <v>1953029</v>
      </c>
      <c r="H111" s="27">
        <f>'приложение 4'!I21</f>
        <v>1952939.91</v>
      </c>
      <c r="I111" s="287">
        <f t="shared" si="12"/>
        <v>99.995438367786647</v>
      </c>
    </row>
    <row r="112" spans="1:9" x14ac:dyDescent="0.25">
      <c r="A112" s="329"/>
      <c r="B112" s="354"/>
      <c r="C112" s="329"/>
      <c r="D112" s="123">
        <v>830</v>
      </c>
      <c r="E112" s="122" t="s">
        <v>91</v>
      </c>
      <c r="F112" s="27">
        <f>'приложение 4'!G23</f>
        <v>2500</v>
      </c>
      <c r="G112" s="27">
        <f>'приложение 4'!H23</f>
        <v>2500</v>
      </c>
      <c r="H112" s="27">
        <f>'приложение 4'!I23</f>
        <v>0</v>
      </c>
      <c r="I112" s="287">
        <f t="shared" si="12"/>
        <v>0</v>
      </c>
    </row>
    <row r="113" spans="1:9" ht="36" customHeight="1" x14ac:dyDescent="0.25">
      <c r="A113" s="329"/>
      <c r="B113" s="354"/>
      <c r="C113" s="329"/>
      <c r="D113" s="28">
        <v>850</v>
      </c>
      <c r="E113" s="29" t="s">
        <v>91</v>
      </c>
      <c r="F113" s="27">
        <f>'приложение 4'!G24</f>
        <v>2500</v>
      </c>
      <c r="G113" s="27">
        <f>'приложение 4'!H24</f>
        <v>2500</v>
      </c>
      <c r="H113" s="27">
        <f>'приложение 4'!I24</f>
        <v>1.37</v>
      </c>
      <c r="I113" s="287">
        <f t="shared" si="12"/>
        <v>5.4800000000000008E-2</v>
      </c>
    </row>
    <row r="114" spans="1:9" ht="75" x14ac:dyDescent="0.25">
      <c r="A114" s="136">
        <v>84</v>
      </c>
      <c r="B114" s="47" t="s">
        <v>363</v>
      </c>
      <c r="C114" s="29" t="str">
        <f>'приложение 4'!E25</f>
        <v>0520000220</v>
      </c>
      <c r="D114" s="28">
        <v>120</v>
      </c>
      <c r="E114" s="29" t="s">
        <v>91</v>
      </c>
      <c r="F114" s="27">
        <f>'приложение 4'!G27</f>
        <v>2879456.03</v>
      </c>
      <c r="G114" s="27">
        <f>'приложение 4'!H27</f>
        <v>2879456.03</v>
      </c>
      <c r="H114" s="27">
        <f>'приложение 4'!I27</f>
        <v>2871996.26</v>
      </c>
      <c r="I114" s="287">
        <f t="shared" si="12"/>
        <v>99.740931275828515</v>
      </c>
    </row>
    <row r="115" spans="1:9" ht="28.5" x14ac:dyDescent="0.25">
      <c r="A115" s="136">
        <v>85</v>
      </c>
      <c r="B115" s="70" t="s">
        <v>220</v>
      </c>
      <c r="C115" s="42" t="s">
        <v>176</v>
      </c>
      <c r="D115" s="41"/>
      <c r="E115" s="42"/>
      <c r="F115" s="44">
        <f>F116+F122+F126+F131</f>
        <v>6918501</v>
      </c>
      <c r="G115" s="44">
        <f>G116+G122+G126+G131</f>
        <v>6918501</v>
      </c>
      <c r="H115" s="44">
        <f>H116+H122+H126+H131</f>
        <v>6449525.8399999999</v>
      </c>
      <c r="I115" s="287">
        <f t="shared" si="12"/>
        <v>93.221433949348281</v>
      </c>
    </row>
    <row r="116" spans="1:9" ht="45" x14ac:dyDescent="0.25">
      <c r="A116" s="136">
        <v>86</v>
      </c>
      <c r="B116" s="177" t="s">
        <v>378</v>
      </c>
      <c r="C116" s="39" t="s">
        <v>177</v>
      </c>
      <c r="D116" s="41"/>
      <c r="E116" s="42"/>
      <c r="F116" s="35">
        <f>F117+F120+F121</f>
        <v>1098600</v>
      </c>
      <c r="G116" s="35">
        <f t="shared" ref="G116:H116" si="23">G117+G120+G121</f>
        <v>1098600</v>
      </c>
      <c r="H116" s="35">
        <f t="shared" si="23"/>
        <v>798600</v>
      </c>
      <c r="I116" s="287">
        <f t="shared" si="12"/>
        <v>72.692517749863455</v>
      </c>
    </row>
    <row r="117" spans="1:9" ht="27.75" customHeight="1" x14ac:dyDescent="0.25">
      <c r="A117" s="329">
        <v>87</v>
      </c>
      <c r="B117" s="330" t="s">
        <v>360</v>
      </c>
      <c r="C117" s="329" t="s">
        <v>279</v>
      </c>
      <c r="D117" s="329">
        <v>240</v>
      </c>
      <c r="E117" s="339" t="s">
        <v>93</v>
      </c>
      <c r="F117" s="331">
        <f>'приложение 4'!G426</f>
        <v>700000</v>
      </c>
      <c r="G117" s="331">
        <f>'приложение 4'!H426</f>
        <v>700000</v>
      </c>
      <c r="H117" s="331">
        <f>'приложение 4'!I426</f>
        <v>400000</v>
      </c>
      <c r="I117" s="322">
        <f t="shared" si="12"/>
        <v>57.142857142857139</v>
      </c>
    </row>
    <row r="118" spans="1:9" ht="29.25" customHeight="1" x14ac:dyDescent="0.25">
      <c r="A118" s="329"/>
      <c r="B118" s="330"/>
      <c r="C118" s="329"/>
      <c r="D118" s="329"/>
      <c r="E118" s="339"/>
      <c r="F118" s="332"/>
      <c r="G118" s="332"/>
      <c r="H118" s="332"/>
      <c r="I118" s="324"/>
    </row>
    <row r="119" spans="1:9" ht="26.25" customHeight="1" x14ac:dyDescent="0.25">
      <c r="A119" s="329"/>
      <c r="B119" s="330"/>
      <c r="C119" s="329"/>
      <c r="D119" s="329"/>
      <c r="E119" s="339"/>
      <c r="F119" s="332"/>
      <c r="G119" s="332"/>
      <c r="H119" s="332"/>
      <c r="I119" s="323"/>
    </row>
    <row r="120" spans="1:9" ht="60" x14ac:dyDescent="0.25">
      <c r="A120" s="136">
        <v>88</v>
      </c>
      <c r="B120" s="59" t="s">
        <v>361</v>
      </c>
      <c r="C120" s="29" t="s">
        <v>280</v>
      </c>
      <c r="D120" s="28">
        <v>240</v>
      </c>
      <c r="E120" s="29" t="s">
        <v>93</v>
      </c>
      <c r="F120" s="43">
        <f>'приложение 4'!G429</f>
        <v>311500</v>
      </c>
      <c r="G120" s="43">
        <f>'приложение 4'!H429</f>
        <v>311500</v>
      </c>
      <c r="H120" s="43">
        <f>'приложение 4'!I429</f>
        <v>311500</v>
      </c>
      <c r="I120" s="287">
        <f t="shared" si="12"/>
        <v>100</v>
      </c>
    </row>
    <row r="121" spans="1:9" ht="62.25" customHeight="1" x14ac:dyDescent="0.25">
      <c r="A121" s="256">
        <v>89</v>
      </c>
      <c r="B121" s="257" t="str">
        <f>'приложение 4'!B119</f>
        <v>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v>
      </c>
      <c r="C121" s="258" t="str">
        <f>'приложение 4'!E119</f>
        <v>0610077450</v>
      </c>
      <c r="D121" s="256">
        <f>'приложение 4'!F121</f>
        <v>540</v>
      </c>
      <c r="E121" s="258" t="str">
        <f>'приложение 4'!D121</f>
        <v>1403</v>
      </c>
      <c r="F121" s="43">
        <f>'приложение 4'!G121</f>
        <v>87100</v>
      </c>
      <c r="G121" s="43">
        <f>'приложение 4'!H121</f>
        <v>87100</v>
      </c>
      <c r="H121" s="43">
        <f>'приложение 4'!I121</f>
        <v>87100</v>
      </c>
      <c r="I121" s="287">
        <f t="shared" si="12"/>
        <v>100</v>
      </c>
    </row>
    <row r="122" spans="1:9" x14ac:dyDescent="0.25">
      <c r="A122" s="329">
        <v>90</v>
      </c>
      <c r="B122" s="379" t="s">
        <v>287</v>
      </c>
      <c r="C122" s="353" t="s">
        <v>191</v>
      </c>
      <c r="D122" s="334"/>
      <c r="E122" s="334"/>
      <c r="F122" s="333">
        <f>F125</f>
        <v>4296261</v>
      </c>
      <c r="G122" s="333">
        <f t="shared" ref="G122:H122" si="24">G125</f>
        <v>4296261</v>
      </c>
      <c r="H122" s="333">
        <f t="shared" si="24"/>
        <v>4296261</v>
      </c>
      <c r="I122" s="322">
        <f t="shared" si="12"/>
        <v>100</v>
      </c>
    </row>
    <row r="123" spans="1:9" x14ac:dyDescent="0.25">
      <c r="A123" s="329"/>
      <c r="B123" s="379"/>
      <c r="C123" s="353"/>
      <c r="D123" s="334"/>
      <c r="E123" s="334"/>
      <c r="F123" s="334"/>
      <c r="G123" s="334"/>
      <c r="H123" s="334"/>
      <c r="I123" s="324"/>
    </row>
    <row r="124" spans="1:9" x14ac:dyDescent="0.25">
      <c r="A124" s="329"/>
      <c r="B124" s="379"/>
      <c r="C124" s="353"/>
      <c r="D124" s="334"/>
      <c r="E124" s="334"/>
      <c r="F124" s="334"/>
      <c r="G124" s="334"/>
      <c r="H124" s="334"/>
      <c r="I124" s="323"/>
    </row>
    <row r="125" spans="1:9" ht="65.25" customHeight="1" x14ac:dyDescent="0.25">
      <c r="A125" s="186">
        <v>91</v>
      </c>
      <c r="B125" s="223" t="s">
        <v>540</v>
      </c>
      <c r="C125" s="227" t="s">
        <v>519</v>
      </c>
      <c r="D125" s="186">
        <v>540</v>
      </c>
      <c r="E125" s="187" t="s">
        <v>130</v>
      </c>
      <c r="F125" s="27">
        <f>'приложение 4'!G124</f>
        <v>4296261</v>
      </c>
      <c r="G125" s="27">
        <f>'приложение 4'!H124</f>
        <v>4296261</v>
      </c>
      <c r="H125" s="27">
        <f>'приложение 4'!I124</f>
        <v>4296261</v>
      </c>
      <c r="I125" s="287">
        <f t="shared" si="12"/>
        <v>100</v>
      </c>
    </row>
    <row r="126" spans="1:9" ht="30" x14ac:dyDescent="0.25">
      <c r="A126" s="136">
        <v>92</v>
      </c>
      <c r="B126" s="49" t="s">
        <v>13</v>
      </c>
      <c r="C126" s="42" t="s">
        <v>379</v>
      </c>
      <c r="D126" s="28"/>
      <c r="E126" s="29"/>
      <c r="F126" s="27">
        <f t="shared" ref="F126:H126" si="25">F127+F128+F129+F130</f>
        <v>1323640</v>
      </c>
      <c r="G126" s="27">
        <f t="shared" si="25"/>
        <v>1323640</v>
      </c>
      <c r="H126" s="27">
        <f t="shared" si="25"/>
        <v>1154664.8399999999</v>
      </c>
      <c r="I126" s="287">
        <f t="shared" si="12"/>
        <v>87.234054576773133</v>
      </c>
    </row>
    <row r="127" spans="1:9" ht="81" customHeight="1" x14ac:dyDescent="0.25">
      <c r="A127" s="136">
        <v>93</v>
      </c>
      <c r="B127" s="252" t="s">
        <v>384</v>
      </c>
      <c r="C127" s="112" t="str">
        <f>'приложение 4'!E313</f>
        <v>0630001110</v>
      </c>
      <c r="D127" s="28">
        <v>310</v>
      </c>
      <c r="E127" s="29" t="s">
        <v>125</v>
      </c>
      <c r="F127" s="27">
        <f>'приложение 4'!G315</f>
        <v>1000000</v>
      </c>
      <c r="G127" s="27">
        <f>'приложение 4'!H315</f>
        <v>1000000</v>
      </c>
      <c r="H127" s="27">
        <f>'приложение 4'!I315</f>
        <v>981024.84</v>
      </c>
      <c r="I127" s="287">
        <f t="shared" si="12"/>
        <v>98.102484000000004</v>
      </c>
    </row>
    <row r="128" spans="1:9" ht="78" customHeight="1" x14ac:dyDescent="0.25">
      <c r="A128" s="136">
        <v>94</v>
      </c>
      <c r="B128" s="113" t="s">
        <v>391</v>
      </c>
      <c r="C128" s="112" t="str">
        <f>'приложение 4'!E346</f>
        <v>0630080010</v>
      </c>
      <c r="D128" s="28">
        <v>310</v>
      </c>
      <c r="E128" s="29" t="s">
        <v>127</v>
      </c>
      <c r="F128" s="27">
        <f>'приложение 4'!G348</f>
        <v>225000</v>
      </c>
      <c r="G128" s="27">
        <f>'приложение 4'!H348</f>
        <v>225000</v>
      </c>
      <c r="H128" s="27">
        <f>'приложение 4'!I348</f>
        <v>75000</v>
      </c>
      <c r="I128" s="287">
        <f t="shared" si="12"/>
        <v>33.333333333333329</v>
      </c>
    </row>
    <row r="129" spans="1:9" ht="27" customHeight="1" x14ac:dyDescent="0.25">
      <c r="A129" s="329">
        <v>95</v>
      </c>
      <c r="B129" s="338" t="s">
        <v>388</v>
      </c>
      <c r="C129" s="339" t="str">
        <f>'приложение 4'!E349</f>
        <v>0630080020</v>
      </c>
      <c r="D129" s="28">
        <v>320</v>
      </c>
      <c r="E129" s="29" t="s">
        <v>127</v>
      </c>
      <c r="F129" s="27">
        <f>'приложение 4'!G351</f>
        <v>92000</v>
      </c>
      <c r="G129" s="27">
        <f>'приложение 4'!H351</f>
        <v>92000</v>
      </c>
      <c r="H129" s="27">
        <f>'приложение 4'!I351</f>
        <v>92000</v>
      </c>
      <c r="I129" s="287">
        <f t="shared" si="12"/>
        <v>100</v>
      </c>
    </row>
    <row r="130" spans="1:9" ht="30" customHeight="1" x14ac:dyDescent="0.25">
      <c r="A130" s="329"/>
      <c r="B130" s="338"/>
      <c r="C130" s="340"/>
      <c r="D130" s="28">
        <v>240</v>
      </c>
      <c r="E130" s="29" t="s">
        <v>127</v>
      </c>
      <c r="F130" s="27">
        <f>'приложение 4'!G353</f>
        <v>6640</v>
      </c>
      <c r="G130" s="27">
        <f>'приложение 4'!H353</f>
        <v>6640</v>
      </c>
      <c r="H130" s="27">
        <f>'приложение 4'!I353</f>
        <v>6640</v>
      </c>
      <c r="I130" s="287">
        <f t="shared" si="12"/>
        <v>100</v>
      </c>
    </row>
    <row r="131" spans="1:9" x14ac:dyDescent="0.25">
      <c r="A131" s="136">
        <v>96</v>
      </c>
      <c r="B131" s="84" t="s">
        <v>38</v>
      </c>
      <c r="C131" s="39" t="s">
        <v>289</v>
      </c>
      <c r="D131" s="41"/>
      <c r="E131" s="42"/>
      <c r="F131" s="35">
        <f t="shared" ref="F131:H131" si="26">F132</f>
        <v>200000</v>
      </c>
      <c r="G131" s="35">
        <f t="shared" si="26"/>
        <v>200000</v>
      </c>
      <c r="H131" s="35">
        <f t="shared" si="26"/>
        <v>200000</v>
      </c>
      <c r="I131" s="287">
        <f t="shared" si="12"/>
        <v>100</v>
      </c>
    </row>
    <row r="132" spans="1:9" x14ac:dyDescent="0.25">
      <c r="A132" s="329">
        <v>97</v>
      </c>
      <c r="B132" s="330" t="s">
        <v>282</v>
      </c>
      <c r="C132" s="329" t="s">
        <v>260</v>
      </c>
      <c r="D132" s="329">
        <v>540</v>
      </c>
      <c r="E132" s="339" t="s">
        <v>102</v>
      </c>
      <c r="F132" s="335">
        <f>'приложение 4'!G54</f>
        <v>200000</v>
      </c>
      <c r="G132" s="335">
        <f>'приложение 4'!H54</f>
        <v>200000</v>
      </c>
      <c r="H132" s="335">
        <f>'приложение 4'!I54</f>
        <v>200000</v>
      </c>
      <c r="I132" s="322">
        <f t="shared" si="12"/>
        <v>100</v>
      </c>
    </row>
    <row r="133" spans="1:9" x14ac:dyDescent="0.25">
      <c r="A133" s="329"/>
      <c r="B133" s="330"/>
      <c r="C133" s="329"/>
      <c r="D133" s="329"/>
      <c r="E133" s="339"/>
      <c r="F133" s="329"/>
      <c r="G133" s="329"/>
      <c r="H133" s="329"/>
      <c r="I133" s="324"/>
    </row>
    <row r="134" spans="1:9" x14ac:dyDescent="0.25">
      <c r="A134" s="329"/>
      <c r="B134" s="330"/>
      <c r="C134" s="329"/>
      <c r="D134" s="329"/>
      <c r="E134" s="339"/>
      <c r="F134" s="329"/>
      <c r="G134" s="329"/>
      <c r="H134" s="329"/>
      <c r="I134" s="323"/>
    </row>
    <row r="135" spans="1:9" ht="57" x14ac:dyDescent="0.25">
      <c r="A135" s="136">
        <v>98</v>
      </c>
      <c r="B135" s="70" t="s">
        <v>221</v>
      </c>
      <c r="C135" s="42" t="s">
        <v>169</v>
      </c>
      <c r="D135" s="28"/>
      <c r="E135" s="29"/>
      <c r="F135" s="44">
        <f>F136+F138+F139+F140</f>
        <v>79708520</v>
      </c>
      <c r="G135" s="44">
        <f>G136+G138+G139+G140</f>
        <v>79708520</v>
      </c>
      <c r="H135" s="44">
        <f>H136+H138+H139+H140</f>
        <v>78951529.349999994</v>
      </c>
      <c r="I135" s="287">
        <f t="shared" si="12"/>
        <v>99.050301460872674</v>
      </c>
    </row>
    <row r="136" spans="1:9" x14ac:dyDescent="0.25">
      <c r="A136" s="136">
        <v>99</v>
      </c>
      <c r="B136" s="84" t="s">
        <v>306</v>
      </c>
      <c r="C136" s="39" t="s">
        <v>170</v>
      </c>
      <c r="D136" s="41"/>
      <c r="E136" s="42"/>
      <c r="F136" s="35">
        <f>F137</f>
        <v>976920</v>
      </c>
      <c r="G136" s="35">
        <f t="shared" ref="G136:H136" si="27">G137</f>
        <v>976920</v>
      </c>
      <c r="H136" s="35">
        <f t="shared" si="27"/>
        <v>976920</v>
      </c>
      <c r="I136" s="287">
        <f t="shared" si="12"/>
        <v>100</v>
      </c>
    </row>
    <row r="137" spans="1:9" ht="60" x14ac:dyDescent="0.25">
      <c r="A137" s="192">
        <v>100</v>
      </c>
      <c r="B137" s="199" t="s">
        <v>474</v>
      </c>
      <c r="C137" s="197" t="str">
        <f>'приложение 4'!E65</f>
        <v>0710085010</v>
      </c>
      <c r="D137" s="192">
        <v>540</v>
      </c>
      <c r="E137" s="197" t="s">
        <v>111</v>
      </c>
      <c r="F137" s="27">
        <f>'приложение 4'!G66</f>
        <v>976920</v>
      </c>
      <c r="G137" s="27">
        <f>'приложение 4'!H66</f>
        <v>976920</v>
      </c>
      <c r="H137" s="27">
        <f>'приложение 4'!I66</f>
        <v>976920</v>
      </c>
      <c r="I137" s="287">
        <f t="shared" si="12"/>
        <v>100</v>
      </c>
    </row>
    <row r="138" spans="1:9" ht="30" x14ac:dyDescent="0.25">
      <c r="A138" s="136">
        <v>101</v>
      </c>
      <c r="B138" s="84" t="s">
        <v>307</v>
      </c>
      <c r="C138" s="39" t="s">
        <v>241</v>
      </c>
      <c r="D138" s="41"/>
      <c r="E138" s="42"/>
      <c r="F138" s="35">
        <v>0</v>
      </c>
      <c r="G138" s="35">
        <v>0</v>
      </c>
      <c r="H138" s="35">
        <v>0</v>
      </c>
      <c r="I138" s="287">
        <v>0</v>
      </c>
    </row>
    <row r="139" spans="1:9" ht="30" x14ac:dyDescent="0.25">
      <c r="A139" s="136">
        <v>102</v>
      </c>
      <c r="B139" s="165" t="s">
        <v>136</v>
      </c>
      <c r="C139" s="39" t="s">
        <v>171</v>
      </c>
      <c r="D139" s="41"/>
      <c r="E139" s="42"/>
      <c r="F139" s="35">
        <v>0</v>
      </c>
      <c r="G139" s="35">
        <v>0</v>
      </c>
      <c r="H139" s="35">
        <v>0</v>
      </c>
      <c r="I139" s="287">
        <v>0</v>
      </c>
    </row>
    <row r="140" spans="1:9" x14ac:dyDescent="0.25">
      <c r="A140" s="136">
        <v>103</v>
      </c>
      <c r="B140" s="67" t="s">
        <v>137</v>
      </c>
      <c r="C140" s="39" t="s">
        <v>179</v>
      </c>
      <c r="D140" s="41"/>
      <c r="E140" s="42"/>
      <c r="F140" s="35">
        <f>F141+F142</f>
        <v>78731600</v>
      </c>
      <c r="G140" s="35">
        <f t="shared" ref="G140:H140" si="28">G141+G142</f>
        <v>78731600</v>
      </c>
      <c r="H140" s="35">
        <f t="shared" si="28"/>
        <v>77974609.349999994</v>
      </c>
      <c r="I140" s="287">
        <f t="shared" ref="I140:I202" si="29">H140/G140*100</f>
        <v>99.038517380568919</v>
      </c>
    </row>
    <row r="141" spans="1:9" ht="45" x14ac:dyDescent="0.25">
      <c r="A141" s="136">
        <v>104</v>
      </c>
      <c r="B141" s="53" t="s">
        <v>283</v>
      </c>
      <c r="C141" s="28" t="str">
        <f>'приложение 4'!E281</f>
        <v>0790075770</v>
      </c>
      <c r="D141" s="28">
        <v>810</v>
      </c>
      <c r="E141" s="29" t="s">
        <v>111</v>
      </c>
      <c r="F141" s="27">
        <f>'приложение 4'!G283</f>
        <v>29823400</v>
      </c>
      <c r="G141" s="27">
        <f>'приложение 4'!H283</f>
        <v>29823400</v>
      </c>
      <c r="H141" s="27">
        <f>'приложение 4'!I283</f>
        <v>29823400</v>
      </c>
      <c r="I141" s="287">
        <f t="shared" si="29"/>
        <v>100</v>
      </c>
    </row>
    <row r="142" spans="1:9" ht="30" x14ac:dyDescent="0.25">
      <c r="A142" s="136">
        <v>105</v>
      </c>
      <c r="B142" s="53" t="s">
        <v>266</v>
      </c>
      <c r="C142" s="28" t="str">
        <f>'приложение 4'!E284</f>
        <v>0790075700</v>
      </c>
      <c r="D142" s="28">
        <v>810</v>
      </c>
      <c r="E142" s="29" t="s">
        <v>111</v>
      </c>
      <c r="F142" s="27">
        <f>'приложение 4'!G286</f>
        <v>48908200</v>
      </c>
      <c r="G142" s="27">
        <f>'приложение 4'!H286</f>
        <v>48908200</v>
      </c>
      <c r="H142" s="27">
        <f>'приложение 4'!I286</f>
        <v>48151209.350000001</v>
      </c>
      <c r="I142" s="287">
        <f t="shared" si="29"/>
        <v>98.452221406635289</v>
      </c>
    </row>
    <row r="143" spans="1:9" ht="57" x14ac:dyDescent="0.25">
      <c r="A143" s="136">
        <v>106</v>
      </c>
      <c r="B143" s="63" t="s">
        <v>222</v>
      </c>
      <c r="C143" s="42" t="s">
        <v>185</v>
      </c>
      <c r="D143" s="28"/>
      <c r="E143" s="29"/>
      <c r="F143" s="44">
        <f>F144+F152</f>
        <v>10986357.800000001</v>
      </c>
      <c r="G143" s="44">
        <f>G144+G152</f>
        <v>10986357.800000001</v>
      </c>
      <c r="H143" s="44">
        <f>H144+H152</f>
        <v>10747225.620000001</v>
      </c>
      <c r="I143" s="287">
        <f t="shared" si="29"/>
        <v>97.823371636412574</v>
      </c>
    </row>
    <row r="144" spans="1:9" ht="30" x14ac:dyDescent="0.25">
      <c r="A144" s="136">
        <v>107</v>
      </c>
      <c r="B144" s="64" t="s">
        <v>290</v>
      </c>
      <c r="C144" s="39" t="s">
        <v>186</v>
      </c>
      <c r="D144" s="41"/>
      <c r="E144" s="42"/>
      <c r="F144" s="35">
        <f>F145+F146+F147+F150+F148+F149+F151</f>
        <v>10876357.800000001</v>
      </c>
      <c r="G144" s="35">
        <f t="shared" ref="G144:H144" si="30">G145+G146+G147+G150+G148+G149+G151</f>
        <v>10876357.800000001</v>
      </c>
      <c r="H144" s="35">
        <f t="shared" si="30"/>
        <v>10646012.620000001</v>
      </c>
      <c r="I144" s="287">
        <f t="shared" si="29"/>
        <v>97.882147827097043</v>
      </c>
    </row>
    <row r="145" spans="1:9" x14ac:dyDescent="0.25">
      <c r="A145" s="329">
        <v>108</v>
      </c>
      <c r="B145" s="341" t="s">
        <v>326</v>
      </c>
      <c r="C145" s="329" t="str">
        <f>'приложение 4'!E367</f>
        <v>0810000610</v>
      </c>
      <c r="D145" s="28">
        <v>110</v>
      </c>
      <c r="E145" s="111" t="s">
        <v>375</v>
      </c>
      <c r="F145" s="27">
        <f>'приложение 4'!G368</f>
        <v>6829763.2400000002</v>
      </c>
      <c r="G145" s="27">
        <f>'приложение 4'!H368</f>
        <v>6829763.2400000002</v>
      </c>
      <c r="H145" s="27">
        <f>'приложение 4'!I368</f>
        <v>6816741.3200000003</v>
      </c>
      <c r="I145" s="287">
        <f t="shared" si="29"/>
        <v>99.809335704000191</v>
      </c>
    </row>
    <row r="146" spans="1:9" ht="19.5" customHeight="1" x14ac:dyDescent="0.25">
      <c r="A146" s="329"/>
      <c r="B146" s="341"/>
      <c r="C146" s="329"/>
      <c r="D146" s="28">
        <v>240</v>
      </c>
      <c r="E146" s="111" t="s">
        <v>375</v>
      </c>
      <c r="F146" s="27">
        <f>'приложение 4'!G370</f>
        <v>860240</v>
      </c>
      <c r="G146" s="27">
        <f>'приложение 4'!H370</f>
        <v>860240</v>
      </c>
      <c r="H146" s="27">
        <f>'приложение 4'!I370</f>
        <v>858088.8</v>
      </c>
      <c r="I146" s="287">
        <f t="shared" si="29"/>
        <v>99.749930252022693</v>
      </c>
    </row>
    <row r="147" spans="1:9" ht="45.75" customHeight="1" x14ac:dyDescent="0.25">
      <c r="A147" s="329"/>
      <c r="B147" s="341"/>
      <c r="C147" s="329"/>
      <c r="D147" s="28">
        <v>850</v>
      </c>
      <c r="E147" s="111" t="s">
        <v>375</v>
      </c>
      <c r="F147" s="27">
        <f>'приложение 4'!G372</f>
        <v>500</v>
      </c>
      <c r="G147" s="27">
        <f>'приложение 4'!H372</f>
        <v>500</v>
      </c>
      <c r="H147" s="27">
        <f>'приложение 4'!I372</f>
        <v>0</v>
      </c>
      <c r="I147" s="287">
        <f t="shared" si="29"/>
        <v>0</v>
      </c>
    </row>
    <row r="148" spans="1:9" ht="45" x14ac:dyDescent="0.25">
      <c r="A148" s="136">
        <v>109</v>
      </c>
      <c r="B148" s="133" t="s">
        <v>435</v>
      </c>
      <c r="C148" s="32" t="s">
        <v>433</v>
      </c>
      <c r="D148" s="134">
        <v>240</v>
      </c>
      <c r="E148" s="32" t="s">
        <v>375</v>
      </c>
      <c r="F148" s="125">
        <f>'приложение 4'!G200</f>
        <v>189500</v>
      </c>
      <c r="G148" s="125">
        <f>'приложение 4'!H200</f>
        <v>189500</v>
      </c>
      <c r="H148" s="125">
        <f>'приложение 4'!I200</f>
        <v>189432.36</v>
      </c>
      <c r="I148" s="287">
        <f t="shared" si="29"/>
        <v>99.964306068601573</v>
      </c>
    </row>
    <row r="149" spans="1:9" ht="79.5" customHeight="1" x14ac:dyDescent="0.25">
      <c r="A149" s="222">
        <v>110</v>
      </c>
      <c r="B149" s="133" t="s">
        <v>538</v>
      </c>
      <c r="C149" s="32" t="s">
        <v>513</v>
      </c>
      <c r="D149" s="134">
        <v>540</v>
      </c>
      <c r="E149" s="32" t="s">
        <v>375</v>
      </c>
      <c r="F149" s="125">
        <f>'приложение 4'!G45</f>
        <v>2702800</v>
      </c>
      <c r="G149" s="125">
        <f>'приложение 4'!H45</f>
        <v>2702800</v>
      </c>
      <c r="H149" s="125">
        <f>'приложение 4'!I45</f>
        <v>2624302.46</v>
      </c>
      <c r="I149" s="287">
        <f t="shared" si="29"/>
        <v>97.095695574959294</v>
      </c>
    </row>
    <row r="150" spans="1:9" ht="30" x14ac:dyDescent="0.25">
      <c r="A150" s="136">
        <v>111</v>
      </c>
      <c r="B150" s="47" t="s">
        <v>285</v>
      </c>
      <c r="C150" s="29" t="s">
        <v>286</v>
      </c>
      <c r="D150" s="28">
        <v>240</v>
      </c>
      <c r="E150" s="111" t="s">
        <v>375</v>
      </c>
      <c r="F150" s="27">
        <f>'приложение 4'!G375</f>
        <v>10000</v>
      </c>
      <c r="G150" s="27">
        <f>'приложение 4'!H375</f>
        <v>10000</v>
      </c>
      <c r="H150" s="27">
        <f>'приложение 4'!I375</f>
        <v>10000</v>
      </c>
      <c r="I150" s="287">
        <f t="shared" si="29"/>
        <v>100</v>
      </c>
    </row>
    <row r="151" spans="1:9" ht="99" customHeight="1" x14ac:dyDescent="0.25">
      <c r="A151" s="244">
        <v>112</v>
      </c>
      <c r="B151" s="248" t="s">
        <v>561</v>
      </c>
      <c r="C151" s="243" t="s">
        <v>560</v>
      </c>
      <c r="D151" s="244">
        <v>240</v>
      </c>
      <c r="E151" s="243" t="s">
        <v>375</v>
      </c>
      <c r="F151" s="27">
        <f>'приложение 4'!G203</f>
        <v>283554.56</v>
      </c>
      <c r="G151" s="27">
        <f>'приложение 4'!H203</f>
        <v>283554.56</v>
      </c>
      <c r="H151" s="27">
        <f>'приложение 4'!I203</f>
        <v>147447.67999999999</v>
      </c>
      <c r="I151" s="287">
        <f t="shared" si="29"/>
        <v>51.999756237388674</v>
      </c>
    </row>
    <row r="152" spans="1:9" ht="30" x14ac:dyDescent="0.25">
      <c r="A152" s="136">
        <v>113</v>
      </c>
      <c r="B152" s="49" t="s">
        <v>397</v>
      </c>
      <c r="C152" s="39" t="s">
        <v>291</v>
      </c>
      <c r="D152" s="51"/>
      <c r="E152" s="39"/>
      <c r="F152" s="35">
        <f t="shared" ref="F152:G152" si="31">F153+F154+F155</f>
        <v>110000</v>
      </c>
      <c r="G152" s="35">
        <f t="shared" si="31"/>
        <v>110000</v>
      </c>
      <c r="H152" s="35">
        <f t="shared" ref="H152" si="32">H153+H154+H155</f>
        <v>101213</v>
      </c>
      <c r="I152" s="287">
        <f t="shared" si="29"/>
        <v>92.011818181818185</v>
      </c>
    </row>
    <row r="153" spans="1:9" ht="34.5" customHeight="1" x14ac:dyDescent="0.25">
      <c r="A153" s="136">
        <v>114</v>
      </c>
      <c r="B153" s="128" t="s">
        <v>430</v>
      </c>
      <c r="C153" s="34" t="s">
        <v>431</v>
      </c>
      <c r="D153" s="126">
        <v>240</v>
      </c>
      <c r="E153" s="127" t="s">
        <v>375</v>
      </c>
      <c r="F153" s="27">
        <f>'приложение 4'!G207</f>
        <v>50000</v>
      </c>
      <c r="G153" s="27">
        <f>'приложение 4'!H207</f>
        <v>50000</v>
      </c>
      <c r="H153" s="27">
        <f>'приложение 4'!I207</f>
        <v>45072</v>
      </c>
      <c r="I153" s="287">
        <f t="shared" si="29"/>
        <v>90.144000000000005</v>
      </c>
    </row>
    <row r="154" spans="1:9" ht="35.25" customHeight="1" x14ac:dyDescent="0.25">
      <c r="A154" s="136">
        <v>115</v>
      </c>
      <c r="B154" s="130" t="s">
        <v>436</v>
      </c>
      <c r="C154" s="127" t="s">
        <v>432</v>
      </c>
      <c r="D154" s="126">
        <v>240</v>
      </c>
      <c r="E154" s="127" t="s">
        <v>375</v>
      </c>
      <c r="F154" s="27">
        <f>'приложение 4'!G210</f>
        <v>30000</v>
      </c>
      <c r="G154" s="27">
        <f>'приложение 4'!H210</f>
        <v>30000</v>
      </c>
      <c r="H154" s="27">
        <f>'приложение 4'!I210</f>
        <v>26141</v>
      </c>
      <c r="I154" s="287">
        <f t="shared" si="29"/>
        <v>87.136666666666656</v>
      </c>
    </row>
    <row r="155" spans="1:9" ht="22.5" customHeight="1" x14ac:dyDescent="0.25">
      <c r="A155" s="136">
        <v>116</v>
      </c>
      <c r="B155" s="130" t="s">
        <v>437</v>
      </c>
      <c r="C155" s="127" t="s">
        <v>434</v>
      </c>
      <c r="D155" s="126">
        <v>240</v>
      </c>
      <c r="E155" s="127" t="s">
        <v>375</v>
      </c>
      <c r="F155" s="27">
        <f>'приложение 4'!G213</f>
        <v>30000</v>
      </c>
      <c r="G155" s="27">
        <f>'приложение 4'!H213</f>
        <v>30000</v>
      </c>
      <c r="H155" s="27">
        <f>'приложение 4'!I213</f>
        <v>30000</v>
      </c>
      <c r="I155" s="287">
        <f t="shared" si="29"/>
        <v>100</v>
      </c>
    </row>
    <row r="156" spans="1:9" ht="42.75" x14ac:dyDescent="0.25">
      <c r="A156" s="136">
        <v>117</v>
      </c>
      <c r="B156" s="63" t="s">
        <v>376</v>
      </c>
      <c r="C156" s="42" t="s">
        <v>178</v>
      </c>
      <c r="D156" s="41"/>
      <c r="E156" s="42"/>
      <c r="F156" s="44">
        <f>F157+F161+F160</f>
        <v>2515900</v>
      </c>
      <c r="G156" s="44">
        <f>G157+G161+G160</f>
        <v>2515900</v>
      </c>
      <c r="H156" s="44">
        <f>H157+H161+H160</f>
        <v>1340273.3500000001</v>
      </c>
      <c r="I156" s="287">
        <f t="shared" si="29"/>
        <v>53.272123295838469</v>
      </c>
    </row>
    <row r="157" spans="1:9" ht="28.5" x14ac:dyDescent="0.25">
      <c r="A157" s="136">
        <v>118</v>
      </c>
      <c r="B157" s="63" t="s">
        <v>469</v>
      </c>
      <c r="C157" s="42" t="s">
        <v>377</v>
      </c>
      <c r="D157" s="41"/>
      <c r="E157" s="42"/>
      <c r="F157" s="44">
        <f>F158+F159</f>
        <v>1368800</v>
      </c>
      <c r="G157" s="44">
        <f t="shared" ref="G157:H157" si="33">G158+G159</f>
        <v>1368800</v>
      </c>
      <c r="H157" s="44">
        <f t="shared" si="33"/>
        <v>194427.85</v>
      </c>
      <c r="I157" s="287">
        <f t="shared" si="29"/>
        <v>14.204255552308592</v>
      </c>
    </row>
    <row r="158" spans="1:9" ht="30" x14ac:dyDescent="0.25">
      <c r="A158" s="136">
        <v>119</v>
      </c>
      <c r="B158" s="59" t="s">
        <v>47</v>
      </c>
      <c r="C158" s="29" t="str">
        <f>'приложение 4'!E255</f>
        <v>09100S6070</v>
      </c>
      <c r="D158" s="28">
        <v>810</v>
      </c>
      <c r="E158" s="29" t="s">
        <v>107</v>
      </c>
      <c r="F158" s="27">
        <f>'приложение 4'!G257</f>
        <v>768800</v>
      </c>
      <c r="G158" s="27">
        <f>'приложение 4'!H257</f>
        <v>768800</v>
      </c>
      <c r="H158" s="27">
        <f>'приложение 4'!I257</f>
        <v>194427.85</v>
      </c>
      <c r="I158" s="287">
        <f t="shared" si="29"/>
        <v>25.289782778355878</v>
      </c>
    </row>
    <row r="159" spans="1:9" ht="60" x14ac:dyDescent="0.25">
      <c r="A159" s="181">
        <v>120</v>
      </c>
      <c r="B159" s="180" t="str">
        <f>'приложение 4'!B258</f>
        <v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v>
      </c>
      <c r="C159" s="178" t="str">
        <f>'приложение 4'!E260</f>
        <v>09100S6680</v>
      </c>
      <c r="D159" s="179">
        <f>'приложение 4'!F260</f>
        <v>810</v>
      </c>
      <c r="E159" s="178" t="s">
        <v>107</v>
      </c>
      <c r="F159" s="27">
        <f>'приложение 4'!G260</f>
        <v>600000</v>
      </c>
      <c r="G159" s="27">
        <f>'приложение 4'!H260</f>
        <v>600000</v>
      </c>
      <c r="H159" s="27">
        <f>'приложение 4'!I260</f>
        <v>0</v>
      </c>
      <c r="I159" s="287">
        <f t="shared" si="29"/>
        <v>0</v>
      </c>
    </row>
    <row r="160" spans="1:9" ht="28.5" x14ac:dyDescent="0.25">
      <c r="A160" s="188">
        <v>121</v>
      </c>
      <c r="B160" s="75" t="s">
        <v>470</v>
      </c>
      <c r="C160" s="42" t="s">
        <v>373</v>
      </c>
      <c r="D160" s="190"/>
      <c r="E160" s="189"/>
      <c r="F160" s="44">
        <v>0</v>
      </c>
      <c r="G160" s="44">
        <v>0</v>
      </c>
      <c r="H160" s="44">
        <v>0</v>
      </c>
      <c r="I160" s="287">
        <v>0</v>
      </c>
    </row>
    <row r="161" spans="1:9" ht="28.5" x14ac:dyDescent="0.25">
      <c r="A161" s="136">
        <v>122</v>
      </c>
      <c r="B161" s="63" t="s">
        <v>264</v>
      </c>
      <c r="C161" s="42" t="s">
        <v>471</v>
      </c>
      <c r="D161" s="41"/>
      <c r="E161" s="42"/>
      <c r="F161" s="44">
        <f>F162+F163</f>
        <v>1147100</v>
      </c>
      <c r="G161" s="44">
        <f t="shared" ref="G161:H161" si="34">G162+G163</f>
        <v>1147100</v>
      </c>
      <c r="H161" s="44">
        <f t="shared" si="34"/>
        <v>1145845.5</v>
      </c>
      <c r="I161" s="287">
        <f t="shared" si="29"/>
        <v>99.890637259175307</v>
      </c>
    </row>
    <row r="162" spans="1:9" ht="36" customHeight="1" x14ac:dyDescent="0.25">
      <c r="A162" s="329">
        <v>123</v>
      </c>
      <c r="B162" s="352" t="s">
        <v>41</v>
      </c>
      <c r="C162" s="339" t="str">
        <f>'приложение 4'!E228</f>
        <v>0930075170</v>
      </c>
      <c r="D162" s="28">
        <v>120</v>
      </c>
      <c r="E162" s="29" t="s">
        <v>103</v>
      </c>
      <c r="F162" s="27">
        <f>'приложение 4'!G230</f>
        <v>1042738.06</v>
      </c>
      <c r="G162" s="27">
        <f>'приложение 4'!H230</f>
        <v>1042738.06</v>
      </c>
      <c r="H162" s="27">
        <f>'приложение 4'!I230</f>
        <v>1041489.2</v>
      </c>
      <c r="I162" s="287">
        <f t="shared" si="29"/>
        <v>99.880232625248183</v>
      </c>
    </row>
    <row r="163" spans="1:9" ht="37.5" customHeight="1" x14ac:dyDescent="0.25">
      <c r="A163" s="329"/>
      <c r="B163" s="352"/>
      <c r="C163" s="339"/>
      <c r="D163" s="28">
        <v>240</v>
      </c>
      <c r="E163" s="29" t="s">
        <v>103</v>
      </c>
      <c r="F163" s="27">
        <f>'приложение 4'!G232</f>
        <v>104361.94</v>
      </c>
      <c r="G163" s="27">
        <f>'приложение 4'!H232</f>
        <v>104361.94</v>
      </c>
      <c r="H163" s="27">
        <f>'приложение 4'!I232</f>
        <v>104356.3</v>
      </c>
      <c r="I163" s="287">
        <f t="shared" si="29"/>
        <v>99.994595730972421</v>
      </c>
    </row>
    <row r="164" spans="1:9" ht="28.5" x14ac:dyDescent="0.25">
      <c r="A164" s="136">
        <v>124</v>
      </c>
      <c r="B164" s="63" t="s">
        <v>223</v>
      </c>
      <c r="C164" s="41">
        <v>1000000000</v>
      </c>
      <c r="D164" s="41"/>
      <c r="E164" s="42"/>
      <c r="F164" s="44">
        <f>F165+F170+F171+F172+F176</f>
        <v>55007037.650000006</v>
      </c>
      <c r="G164" s="44">
        <f>G165+G170+G171+G172+G176</f>
        <v>55007037.649999999</v>
      </c>
      <c r="H164" s="44">
        <f>H165+H170+H171+H172+H176</f>
        <v>51033532.649999999</v>
      </c>
      <c r="I164" s="287">
        <f t="shared" si="29"/>
        <v>92.776369770568806</v>
      </c>
    </row>
    <row r="165" spans="1:9" ht="30" x14ac:dyDescent="0.25">
      <c r="A165" s="136">
        <v>125</v>
      </c>
      <c r="B165" s="38" t="s">
        <v>308</v>
      </c>
      <c r="C165" s="51">
        <v>1010000000</v>
      </c>
      <c r="D165" s="41"/>
      <c r="E165" s="42"/>
      <c r="F165" s="35">
        <f>F166+F168+F167+F169</f>
        <v>30472143.210000001</v>
      </c>
      <c r="G165" s="35">
        <f t="shared" ref="G165:H165" si="35">G166+G168+G167+G169</f>
        <v>30472143.210000001</v>
      </c>
      <c r="H165" s="35">
        <f t="shared" si="35"/>
        <v>29763913.34</v>
      </c>
      <c r="I165" s="287">
        <f t="shared" si="29"/>
        <v>97.675812084764743</v>
      </c>
    </row>
    <row r="166" spans="1:9" ht="59.25" customHeight="1" x14ac:dyDescent="0.25">
      <c r="A166" s="342">
        <v>126</v>
      </c>
      <c r="B166" s="357" t="s">
        <v>43</v>
      </c>
      <c r="C166" s="342">
        <f>'приложение 4'!E236</f>
        <v>1010023580</v>
      </c>
      <c r="D166" s="28">
        <v>810</v>
      </c>
      <c r="E166" s="29" t="s">
        <v>104</v>
      </c>
      <c r="F166" s="27">
        <f>'приложение 4'!G238</f>
        <v>24444127.780000001</v>
      </c>
      <c r="G166" s="27">
        <f>'приложение 4'!H238</f>
        <v>24444127.780000001</v>
      </c>
      <c r="H166" s="27">
        <f>'приложение 4'!I238</f>
        <v>23735997.91</v>
      </c>
      <c r="I166" s="287">
        <f t="shared" si="29"/>
        <v>97.10306754909297</v>
      </c>
    </row>
    <row r="167" spans="1:9" ht="36" customHeight="1" x14ac:dyDescent="0.25">
      <c r="A167" s="344"/>
      <c r="B167" s="358"/>
      <c r="C167" s="344"/>
      <c r="D167" s="192">
        <v>240</v>
      </c>
      <c r="E167" s="197" t="s">
        <v>104</v>
      </c>
      <c r="F167" s="27">
        <f>'приложение 4'!G240</f>
        <v>15.43</v>
      </c>
      <c r="G167" s="27">
        <f>'приложение 4'!H240</f>
        <v>15.43</v>
      </c>
      <c r="H167" s="27">
        <f>'приложение 4'!I240</f>
        <v>15.43</v>
      </c>
      <c r="I167" s="287">
        <f t="shared" si="29"/>
        <v>100</v>
      </c>
    </row>
    <row r="168" spans="1:9" ht="47.25" customHeight="1" x14ac:dyDescent="0.25">
      <c r="A168" s="342">
        <v>127</v>
      </c>
      <c r="B168" s="359" t="s">
        <v>265</v>
      </c>
      <c r="C168" s="342">
        <f>'приложение 4'!E243</f>
        <v>1010023590</v>
      </c>
      <c r="D168" s="28">
        <v>810</v>
      </c>
      <c r="E168" s="29" t="s">
        <v>104</v>
      </c>
      <c r="F168" s="27">
        <f>'приложение 4'!G243</f>
        <v>6027900</v>
      </c>
      <c r="G168" s="27">
        <f>'приложение 4'!H243</f>
        <v>6027900</v>
      </c>
      <c r="H168" s="27">
        <f>'приложение 4'!I243</f>
        <v>6027900</v>
      </c>
      <c r="I168" s="287">
        <f t="shared" si="29"/>
        <v>100</v>
      </c>
    </row>
    <row r="169" spans="1:9" ht="52.5" customHeight="1" x14ac:dyDescent="0.25">
      <c r="A169" s="344"/>
      <c r="B169" s="360"/>
      <c r="C169" s="344"/>
      <c r="D169" s="192">
        <v>240</v>
      </c>
      <c r="E169" s="197" t="s">
        <v>104</v>
      </c>
      <c r="F169" s="27">
        <f>'приложение 4'!G245</f>
        <v>100</v>
      </c>
      <c r="G169" s="27">
        <f>'приложение 4'!H245</f>
        <v>100</v>
      </c>
      <c r="H169" s="27">
        <f>'приложение 4'!I245</f>
        <v>0</v>
      </c>
      <c r="I169" s="287">
        <f t="shared" si="29"/>
        <v>0</v>
      </c>
    </row>
    <row r="170" spans="1:9" ht="30" x14ac:dyDescent="0.25">
      <c r="A170" s="136">
        <v>128</v>
      </c>
      <c r="B170" s="38" t="s">
        <v>138</v>
      </c>
      <c r="C170" s="51">
        <v>1020000000</v>
      </c>
      <c r="D170" s="41"/>
      <c r="E170" s="42"/>
      <c r="F170" s="35">
        <v>0</v>
      </c>
      <c r="G170" s="35">
        <v>0</v>
      </c>
      <c r="H170" s="35">
        <v>0</v>
      </c>
      <c r="I170" s="287">
        <v>0</v>
      </c>
    </row>
    <row r="171" spans="1:9" ht="30" x14ac:dyDescent="0.25">
      <c r="A171" s="136">
        <v>129</v>
      </c>
      <c r="B171" s="38" t="s">
        <v>292</v>
      </c>
      <c r="C171" s="51">
        <v>1030000000</v>
      </c>
      <c r="D171" s="51"/>
      <c r="E171" s="39"/>
      <c r="F171" s="35">
        <v>0</v>
      </c>
      <c r="G171" s="35">
        <v>0</v>
      </c>
      <c r="H171" s="35">
        <v>0</v>
      </c>
      <c r="I171" s="287">
        <v>0</v>
      </c>
    </row>
    <row r="172" spans="1:9" ht="30" x14ac:dyDescent="0.25">
      <c r="A172" s="136">
        <v>130</v>
      </c>
      <c r="B172" s="38" t="s">
        <v>309</v>
      </c>
      <c r="C172" s="51">
        <v>1040000000</v>
      </c>
      <c r="D172" s="51"/>
      <c r="E172" s="39"/>
      <c r="F172" s="35">
        <f>F173+F175</f>
        <v>24534894.440000005</v>
      </c>
      <c r="G172" s="35">
        <f t="shared" ref="G172:H172" si="36">G173+G175</f>
        <v>24534894.439999998</v>
      </c>
      <c r="H172" s="35">
        <f t="shared" si="36"/>
        <v>21269619.309999999</v>
      </c>
      <c r="I172" s="287">
        <f t="shared" si="29"/>
        <v>86.691301493123532</v>
      </c>
    </row>
    <row r="173" spans="1:9" ht="37.5" customHeight="1" x14ac:dyDescent="0.25">
      <c r="A173" s="342">
        <v>131</v>
      </c>
      <c r="B173" s="371" t="s">
        <v>450</v>
      </c>
      <c r="C173" s="342">
        <f>'приложение 4'!E58</f>
        <v>1040082230</v>
      </c>
      <c r="D173" s="377">
        <v>540</v>
      </c>
      <c r="E173" s="361" t="s">
        <v>106</v>
      </c>
      <c r="F173" s="327">
        <f>'приложение 4'!G60</f>
        <v>22717080.610000003</v>
      </c>
      <c r="G173" s="327">
        <f>'приложение 4'!H60</f>
        <v>22717080.609999999</v>
      </c>
      <c r="H173" s="327">
        <f>'приложение 4'!I60</f>
        <v>19836818.149999999</v>
      </c>
      <c r="I173" s="322">
        <f t="shared" si="29"/>
        <v>87.321159309827351</v>
      </c>
    </row>
    <row r="174" spans="1:9" ht="43.5" customHeight="1" x14ac:dyDescent="0.25">
      <c r="A174" s="344"/>
      <c r="B174" s="372"/>
      <c r="C174" s="344"/>
      <c r="D174" s="378"/>
      <c r="E174" s="362"/>
      <c r="F174" s="328"/>
      <c r="G174" s="328"/>
      <c r="H174" s="328"/>
      <c r="I174" s="323"/>
    </row>
    <row r="175" spans="1:9" ht="69.75" customHeight="1" x14ac:dyDescent="0.25">
      <c r="A175" s="155">
        <v>132</v>
      </c>
      <c r="B175" s="158" t="s">
        <v>449</v>
      </c>
      <c r="C175" s="157">
        <f>'приложение 4'!E249</f>
        <v>1040082240</v>
      </c>
      <c r="D175" s="156">
        <v>240</v>
      </c>
      <c r="E175" s="159" t="s">
        <v>106</v>
      </c>
      <c r="F175" s="154">
        <f>'приложение 4'!G251</f>
        <v>1817813.83</v>
      </c>
      <c r="G175" s="154">
        <f>'приложение 4'!H251</f>
        <v>1817813.83</v>
      </c>
      <c r="H175" s="154">
        <f>'приложение 4'!I251</f>
        <v>1432801.16</v>
      </c>
      <c r="I175" s="287">
        <f t="shared" si="29"/>
        <v>78.820016459001181</v>
      </c>
    </row>
    <row r="176" spans="1:9" ht="21.75" customHeight="1" x14ac:dyDescent="0.25">
      <c r="A176" s="136">
        <v>133</v>
      </c>
      <c r="B176" s="49" t="s">
        <v>38</v>
      </c>
      <c r="C176" s="51"/>
      <c r="D176" s="51"/>
      <c r="E176" s="39"/>
      <c r="F176" s="35">
        <v>0</v>
      </c>
      <c r="G176" s="35">
        <v>0</v>
      </c>
      <c r="H176" s="35">
        <v>0</v>
      </c>
      <c r="I176" s="287">
        <v>0</v>
      </c>
    </row>
    <row r="177" spans="1:9" ht="42.75" x14ac:dyDescent="0.25">
      <c r="A177" s="136">
        <v>134</v>
      </c>
      <c r="B177" s="63" t="s">
        <v>224</v>
      </c>
      <c r="C177" s="41">
        <v>1100000000</v>
      </c>
      <c r="D177" s="28"/>
      <c r="E177" s="29"/>
      <c r="F177" s="44">
        <f>F178+F179+F181+F184+F188+F192</f>
        <v>12559770.27</v>
      </c>
      <c r="G177" s="44">
        <f>G178+G179+G181+G184+G188+G192</f>
        <v>12559770.27</v>
      </c>
      <c r="H177" s="44">
        <f>H178+H179+H181+H184+H188+H192</f>
        <v>9472045.7899999991</v>
      </c>
      <c r="I177" s="287">
        <f t="shared" si="29"/>
        <v>75.415756708741128</v>
      </c>
    </row>
    <row r="178" spans="1:9" ht="30" x14ac:dyDescent="0.25">
      <c r="A178" s="136">
        <v>135</v>
      </c>
      <c r="B178" s="38" t="s">
        <v>139</v>
      </c>
      <c r="C178" s="51">
        <v>1110000000</v>
      </c>
      <c r="D178" s="41"/>
      <c r="E178" s="42"/>
      <c r="F178" s="35">
        <v>0</v>
      </c>
      <c r="G178" s="35">
        <v>0</v>
      </c>
      <c r="H178" s="35">
        <v>0</v>
      </c>
      <c r="I178" s="287">
        <v>0</v>
      </c>
    </row>
    <row r="179" spans="1:9" ht="30" x14ac:dyDescent="0.25">
      <c r="A179" s="136">
        <v>136</v>
      </c>
      <c r="B179" s="38" t="s">
        <v>140</v>
      </c>
      <c r="C179" s="51">
        <v>1120000000</v>
      </c>
      <c r="D179" s="41"/>
      <c r="E179" s="42"/>
      <c r="F179" s="35">
        <f t="shared" ref="F179:H179" si="37">F180</f>
        <v>1571445.72</v>
      </c>
      <c r="G179" s="35">
        <f t="shared" si="37"/>
        <v>1571445.72</v>
      </c>
      <c r="H179" s="35">
        <f t="shared" si="37"/>
        <v>1571445.72</v>
      </c>
      <c r="I179" s="287">
        <f t="shared" si="29"/>
        <v>100</v>
      </c>
    </row>
    <row r="180" spans="1:9" ht="28.5" customHeight="1" x14ac:dyDescent="0.25">
      <c r="A180" s="136">
        <v>137</v>
      </c>
      <c r="B180" s="59" t="s">
        <v>145</v>
      </c>
      <c r="C180" s="45" t="str">
        <f>'приложение 4'!E319</f>
        <v>11200L4970</v>
      </c>
      <c r="D180" s="28">
        <v>320</v>
      </c>
      <c r="E180" s="29" t="s">
        <v>126</v>
      </c>
      <c r="F180" s="27">
        <f>'приложение 4'!G321</f>
        <v>1571445.72</v>
      </c>
      <c r="G180" s="27">
        <f>'приложение 4'!H321</f>
        <v>1571445.72</v>
      </c>
      <c r="H180" s="27">
        <f>'приложение 4'!I321</f>
        <v>1571445.72</v>
      </c>
      <c r="I180" s="287">
        <f t="shared" si="29"/>
        <v>100</v>
      </c>
    </row>
    <row r="181" spans="1:9" ht="45" x14ac:dyDescent="0.25">
      <c r="A181" s="136">
        <v>138</v>
      </c>
      <c r="B181" s="38" t="s">
        <v>141</v>
      </c>
      <c r="C181" s="51">
        <v>1130000000</v>
      </c>
      <c r="D181" s="41"/>
      <c r="E181" s="42"/>
      <c r="F181" s="35">
        <f>F182+F183</f>
        <v>2886840</v>
      </c>
      <c r="G181" s="35">
        <f t="shared" ref="G181:H181" si="38">G182+G183</f>
        <v>2886840</v>
      </c>
      <c r="H181" s="35">
        <f t="shared" si="38"/>
        <v>100000</v>
      </c>
      <c r="I181" s="287">
        <f t="shared" si="29"/>
        <v>3.4639952335425583</v>
      </c>
    </row>
    <row r="182" spans="1:9" ht="36" customHeight="1" x14ac:dyDescent="0.25">
      <c r="A182" s="192">
        <v>139</v>
      </c>
      <c r="B182" s="198" t="s">
        <v>500</v>
      </c>
      <c r="C182" s="197" t="str">
        <f>'приложение 4'!E263</f>
        <v>1130084670</v>
      </c>
      <c r="D182" s="192">
        <v>240</v>
      </c>
      <c r="E182" s="197" t="s">
        <v>107</v>
      </c>
      <c r="F182" s="27">
        <f>'приложение 4'!G265</f>
        <v>2786840</v>
      </c>
      <c r="G182" s="27">
        <f>'приложение 4'!H265</f>
        <v>2786840</v>
      </c>
      <c r="H182" s="27">
        <f>'приложение 4'!I265</f>
        <v>0</v>
      </c>
      <c r="I182" s="287">
        <f t="shared" si="29"/>
        <v>0</v>
      </c>
    </row>
    <row r="183" spans="1:9" ht="114" customHeight="1" x14ac:dyDescent="0.25">
      <c r="A183" s="246">
        <v>140</v>
      </c>
      <c r="B183" s="251" t="s">
        <v>568</v>
      </c>
      <c r="C183" s="245" t="s">
        <v>569</v>
      </c>
      <c r="D183" s="246">
        <v>240</v>
      </c>
      <c r="E183" s="245" t="s">
        <v>107</v>
      </c>
      <c r="F183" s="27">
        <f>'приложение 4'!G266</f>
        <v>100000</v>
      </c>
      <c r="G183" s="27">
        <f>'приложение 4'!H266</f>
        <v>100000</v>
      </c>
      <c r="H183" s="27">
        <f>'приложение 4'!I266</f>
        <v>100000</v>
      </c>
      <c r="I183" s="287">
        <f t="shared" si="29"/>
        <v>100</v>
      </c>
    </row>
    <row r="184" spans="1:9" ht="75" x14ac:dyDescent="0.25">
      <c r="A184" s="136">
        <v>141</v>
      </c>
      <c r="B184" s="191" t="s">
        <v>468</v>
      </c>
      <c r="C184" s="51">
        <v>1140000000</v>
      </c>
      <c r="D184" s="41"/>
      <c r="E184" s="42"/>
      <c r="F184" s="35">
        <f>F185+F187+F186</f>
        <v>4466550</v>
      </c>
      <c r="G184" s="35">
        <f t="shared" ref="G184:H184" si="39">G185+G187+G186</f>
        <v>4466550</v>
      </c>
      <c r="H184" s="35">
        <f t="shared" si="39"/>
        <v>4230320.37</v>
      </c>
      <c r="I184" s="287">
        <f t="shared" si="29"/>
        <v>94.71113879840145</v>
      </c>
    </row>
    <row r="185" spans="1:9" x14ac:dyDescent="0.25">
      <c r="A185" s="342">
        <v>142</v>
      </c>
      <c r="B185" s="355" t="s">
        <v>382</v>
      </c>
      <c r="C185" s="380">
        <f>'приложение 4'!E275</f>
        <v>1140092030</v>
      </c>
      <c r="D185" s="139">
        <v>240</v>
      </c>
      <c r="E185" s="138" t="s">
        <v>368</v>
      </c>
      <c r="F185" s="35">
        <f>'приложение 4'!G275</f>
        <v>189300</v>
      </c>
      <c r="G185" s="35">
        <f>'приложение 4'!H275</f>
        <v>189300</v>
      </c>
      <c r="H185" s="35">
        <f>'приложение 4'!I275</f>
        <v>187046.47</v>
      </c>
      <c r="I185" s="287">
        <f t="shared" si="29"/>
        <v>98.809545694664564</v>
      </c>
    </row>
    <row r="186" spans="1:9" x14ac:dyDescent="0.25">
      <c r="A186" s="344"/>
      <c r="B186" s="356"/>
      <c r="C186" s="381"/>
      <c r="D186" s="171">
        <v>850</v>
      </c>
      <c r="E186" s="169" t="s">
        <v>368</v>
      </c>
      <c r="F186" s="35">
        <f>'приложение 4'!G277</f>
        <v>1000</v>
      </c>
      <c r="G186" s="35">
        <f>'приложение 4'!H277</f>
        <v>1000</v>
      </c>
      <c r="H186" s="35">
        <f>'приложение 4'!I277</f>
        <v>0</v>
      </c>
      <c r="I186" s="287">
        <f t="shared" si="29"/>
        <v>0</v>
      </c>
    </row>
    <row r="187" spans="1:9" ht="90" x14ac:dyDescent="0.25">
      <c r="A187" s="136">
        <v>143</v>
      </c>
      <c r="B187" s="117" t="s">
        <v>416</v>
      </c>
      <c r="C187" s="115">
        <f>'приложение 4'!E187</f>
        <v>1140092040</v>
      </c>
      <c r="D187" s="116">
        <v>240</v>
      </c>
      <c r="E187" s="114" t="s">
        <v>93</v>
      </c>
      <c r="F187" s="43">
        <f>'приложение 4'!G189</f>
        <v>4276250</v>
      </c>
      <c r="G187" s="43">
        <f>'приложение 4'!H189</f>
        <v>4276250</v>
      </c>
      <c r="H187" s="43">
        <f>'приложение 4'!I189</f>
        <v>4043273.9</v>
      </c>
      <c r="I187" s="287">
        <f t="shared" si="29"/>
        <v>94.551859690149072</v>
      </c>
    </row>
    <row r="188" spans="1:9" ht="45" x14ac:dyDescent="0.25">
      <c r="A188" s="136">
        <v>144</v>
      </c>
      <c r="B188" s="84" t="s">
        <v>142</v>
      </c>
      <c r="C188" s="51">
        <v>1150000000</v>
      </c>
      <c r="D188" s="41"/>
      <c r="E188" s="42"/>
      <c r="F188" s="35">
        <f>F189+F190+F191</f>
        <v>2535434.5499999998</v>
      </c>
      <c r="G188" s="35">
        <f t="shared" ref="G188:H188" si="40">G189+G190+G191</f>
        <v>2535434.5499999998</v>
      </c>
      <c r="H188" s="35">
        <f t="shared" si="40"/>
        <v>2534653.9499999997</v>
      </c>
      <c r="I188" s="287">
        <f t="shared" si="29"/>
        <v>99.969212378209477</v>
      </c>
    </row>
    <row r="189" spans="1:9" ht="24.75" customHeight="1" x14ac:dyDescent="0.25">
      <c r="A189" s="342">
        <v>145</v>
      </c>
      <c r="B189" s="357" t="s">
        <v>58</v>
      </c>
      <c r="C189" s="342">
        <f>'приложение 4'!E325</f>
        <v>1150075870</v>
      </c>
      <c r="D189" s="28">
        <v>410</v>
      </c>
      <c r="E189" s="29" t="s">
        <v>164</v>
      </c>
      <c r="F189" s="27">
        <f>'приложение 4'!G327</f>
        <v>2420000</v>
      </c>
      <c r="G189" s="27">
        <f>'приложение 4'!H327</f>
        <v>2420000</v>
      </c>
      <c r="H189" s="27">
        <f>'приложение 4'!I327</f>
        <v>2420000</v>
      </c>
      <c r="I189" s="287">
        <f t="shared" si="29"/>
        <v>100</v>
      </c>
    </row>
    <row r="190" spans="1:9" ht="24.75" customHeight="1" x14ac:dyDescent="0.25">
      <c r="A190" s="343"/>
      <c r="B190" s="374"/>
      <c r="C190" s="343"/>
      <c r="D190" s="181">
        <v>120</v>
      </c>
      <c r="E190" s="178" t="s">
        <v>127</v>
      </c>
      <c r="F190" s="27">
        <f>'приложение 4'!G358</f>
        <v>111742.17</v>
      </c>
      <c r="G190" s="27">
        <f>'приложение 4'!H358</f>
        <v>111742.17</v>
      </c>
      <c r="H190" s="27">
        <f>'приложение 4'!I358</f>
        <v>110961.57</v>
      </c>
      <c r="I190" s="287">
        <f t="shared" si="29"/>
        <v>99.301427563112483</v>
      </c>
    </row>
    <row r="191" spans="1:9" ht="36" customHeight="1" x14ac:dyDescent="0.25">
      <c r="A191" s="344"/>
      <c r="B191" s="358"/>
      <c r="C191" s="344"/>
      <c r="D191" s="181">
        <v>240</v>
      </c>
      <c r="E191" s="178" t="s">
        <v>127</v>
      </c>
      <c r="F191" s="27">
        <f>'приложение 4'!G360</f>
        <v>3692.38</v>
      </c>
      <c r="G191" s="27">
        <f>'приложение 4'!H360</f>
        <v>3692.38</v>
      </c>
      <c r="H191" s="27">
        <f>'приложение 4'!I360</f>
        <v>3692.38</v>
      </c>
      <c r="I191" s="287">
        <f t="shared" si="29"/>
        <v>100</v>
      </c>
    </row>
    <row r="192" spans="1:9" x14ac:dyDescent="0.25">
      <c r="A192" s="136">
        <v>146</v>
      </c>
      <c r="B192" s="37" t="s">
        <v>143</v>
      </c>
      <c r="C192" s="51"/>
      <c r="D192" s="41"/>
      <c r="E192" s="42"/>
      <c r="F192" s="35">
        <f t="shared" ref="F192:G192" si="41">F193+F194</f>
        <v>1099500</v>
      </c>
      <c r="G192" s="35">
        <f t="shared" si="41"/>
        <v>1099500</v>
      </c>
      <c r="H192" s="35">
        <f t="shared" ref="H192" si="42">H193+H194</f>
        <v>1035625.75</v>
      </c>
      <c r="I192" s="287">
        <f t="shared" si="29"/>
        <v>94.190609367894496</v>
      </c>
    </row>
    <row r="193" spans="1:9" ht="24.75" customHeight="1" x14ac:dyDescent="0.25">
      <c r="A193" s="329">
        <v>147</v>
      </c>
      <c r="B193" s="330" t="s">
        <v>263</v>
      </c>
      <c r="C193" s="329">
        <f>'приложение 4'!E191</f>
        <v>1190074670</v>
      </c>
      <c r="D193" s="28">
        <v>120</v>
      </c>
      <c r="E193" s="29" t="s">
        <v>93</v>
      </c>
      <c r="F193" s="27">
        <f>'приложение 4'!G193</f>
        <v>1067738.06</v>
      </c>
      <c r="G193" s="27">
        <f>'приложение 4'!H193</f>
        <v>1067738.06</v>
      </c>
      <c r="H193" s="27">
        <f>'приложение 4'!I193</f>
        <v>1003864.11</v>
      </c>
      <c r="I193" s="287">
        <f t="shared" si="29"/>
        <v>94.017825870138978</v>
      </c>
    </row>
    <row r="194" spans="1:9" ht="35.25" customHeight="1" x14ac:dyDescent="0.25">
      <c r="A194" s="329"/>
      <c r="B194" s="330"/>
      <c r="C194" s="329"/>
      <c r="D194" s="28">
        <v>240</v>
      </c>
      <c r="E194" s="29" t="s">
        <v>93</v>
      </c>
      <c r="F194" s="27">
        <f>'приложение 4'!G195</f>
        <v>31761.940000000002</v>
      </c>
      <c r="G194" s="27">
        <f>'приложение 4'!H195</f>
        <v>31761.94</v>
      </c>
      <c r="H194" s="27">
        <f>'приложение 4'!I195</f>
        <v>31761.64</v>
      </c>
      <c r="I194" s="287">
        <f t="shared" si="29"/>
        <v>99.99905547331177</v>
      </c>
    </row>
    <row r="195" spans="1:9" ht="57.75" customHeight="1" x14ac:dyDescent="0.25">
      <c r="A195" s="192">
        <v>148</v>
      </c>
      <c r="B195" s="75" t="s">
        <v>483</v>
      </c>
      <c r="C195" s="41">
        <v>1200000000</v>
      </c>
      <c r="D195" s="192"/>
      <c r="E195" s="197"/>
      <c r="F195" s="27">
        <f>F196</f>
        <v>7837435.1200000001</v>
      </c>
      <c r="G195" s="27">
        <f t="shared" ref="G195:H195" si="43">G196</f>
        <v>7837435.1200000001</v>
      </c>
      <c r="H195" s="27">
        <f t="shared" si="43"/>
        <v>594179.12</v>
      </c>
      <c r="I195" s="287">
        <f t="shared" si="29"/>
        <v>7.5812955501697337</v>
      </c>
    </row>
    <row r="196" spans="1:9" ht="49.5" customHeight="1" x14ac:dyDescent="0.25">
      <c r="A196" s="192">
        <v>149</v>
      </c>
      <c r="B196" s="200" t="s">
        <v>478</v>
      </c>
      <c r="C196" s="194">
        <v>1210000000</v>
      </c>
      <c r="D196" s="192"/>
      <c r="E196" s="197"/>
      <c r="F196" s="27">
        <f>F197+F198+F200+F201+F199</f>
        <v>7837435.1200000001</v>
      </c>
      <c r="G196" s="27">
        <f t="shared" ref="G196:H196" si="44">G197+G198+G200+G201+G199</f>
        <v>7837435.1200000001</v>
      </c>
      <c r="H196" s="27">
        <f t="shared" si="44"/>
        <v>594179.12</v>
      </c>
      <c r="I196" s="287">
        <f t="shared" si="29"/>
        <v>7.5812955501697337</v>
      </c>
    </row>
    <row r="197" spans="1:9" ht="34.5" customHeight="1" x14ac:dyDescent="0.25">
      <c r="A197" s="342">
        <v>150</v>
      </c>
      <c r="B197" s="365" t="s">
        <v>49</v>
      </c>
      <c r="C197" s="346" t="str">
        <f>'приложение 4'!E291</f>
        <v>1210075180</v>
      </c>
      <c r="D197" s="192">
        <v>120</v>
      </c>
      <c r="E197" s="197" t="s">
        <v>409</v>
      </c>
      <c r="F197" s="27">
        <f>'приложение 4'!G293</f>
        <v>104234</v>
      </c>
      <c r="G197" s="27">
        <f>'приложение 4'!H293</f>
        <v>104234</v>
      </c>
      <c r="H197" s="27">
        <f>'приложение 4'!I293</f>
        <v>102420.9</v>
      </c>
      <c r="I197" s="287">
        <f t="shared" si="29"/>
        <v>98.260548381526178</v>
      </c>
    </row>
    <row r="198" spans="1:9" ht="47.25" customHeight="1" x14ac:dyDescent="0.25">
      <c r="A198" s="344"/>
      <c r="B198" s="366"/>
      <c r="C198" s="348"/>
      <c r="D198" s="192">
        <v>240</v>
      </c>
      <c r="E198" s="197" t="s">
        <v>409</v>
      </c>
      <c r="F198" s="27">
        <f>'приложение 4'!G295</f>
        <v>492566</v>
      </c>
      <c r="G198" s="27">
        <f>'приложение 4'!H295</f>
        <v>492566</v>
      </c>
      <c r="H198" s="27">
        <f>'приложение 4'!I295</f>
        <v>491758.22</v>
      </c>
      <c r="I198" s="287">
        <f t="shared" si="29"/>
        <v>99.836005733241834</v>
      </c>
    </row>
    <row r="199" spans="1:9" ht="89.25" customHeight="1" x14ac:dyDescent="0.25">
      <c r="A199" s="263">
        <v>151</v>
      </c>
      <c r="B199" s="267" t="str">
        <f>'приложение 4'!B72</f>
        <v>Мероприятия направленные на ликвидацию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199" s="268" t="str">
        <f>'приложение 4'!E72</f>
        <v>12100S6900</v>
      </c>
      <c r="D199" s="259">
        <v>540</v>
      </c>
      <c r="E199" s="260" t="s">
        <v>409</v>
      </c>
      <c r="F199" s="27">
        <f>'приложение 4'!G72</f>
        <v>973120</v>
      </c>
      <c r="G199" s="27">
        <f>'приложение 4'!H72</f>
        <v>973120</v>
      </c>
      <c r="H199" s="27">
        <f>'приложение 4'!I72</f>
        <v>0</v>
      </c>
      <c r="I199" s="287">
        <f t="shared" si="29"/>
        <v>0</v>
      </c>
    </row>
    <row r="200" spans="1:9" ht="47.25" customHeight="1" x14ac:dyDescent="0.25">
      <c r="A200" s="215">
        <v>152</v>
      </c>
      <c r="B200" s="363" t="str">
        <f>'приложение 4'!B297</f>
        <v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00" s="361" t="str">
        <f>'приложение 4'!E297</f>
        <v>1210089130</v>
      </c>
      <c r="D200" s="213">
        <v>240</v>
      </c>
      <c r="E200" s="214" t="s">
        <v>415</v>
      </c>
      <c r="F200" s="27">
        <f>'приложение 4'!G299</f>
        <v>2500000</v>
      </c>
      <c r="G200" s="27">
        <f>'приложение 4'!H299</f>
        <v>2500000</v>
      </c>
      <c r="H200" s="27">
        <f>'приложение 4'!I299</f>
        <v>0</v>
      </c>
      <c r="I200" s="287">
        <f t="shared" si="29"/>
        <v>0</v>
      </c>
    </row>
    <row r="201" spans="1:9" ht="47.25" customHeight="1" x14ac:dyDescent="0.25">
      <c r="A201" s="242">
        <v>153</v>
      </c>
      <c r="B201" s="364"/>
      <c r="C201" s="362"/>
      <c r="D201" s="240">
        <v>540</v>
      </c>
      <c r="E201" s="241" t="s">
        <v>415</v>
      </c>
      <c r="F201" s="27">
        <f>'приложение 4'!G78</f>
        <v>3767515.12</v>
      </c>
      <c r="G201" s="27">
        <f>'приложение 4'!H78</f>
        <v>3767515.12</v>
      </c>
      <c r="H201" s="27">
        <f>'приложение 4'!I78</f>
        <v>0</v>
      </c>
      <c r="I201" s="287">
        <f t="shared" si="29"/>
        <v>0</v>
      </c>
    </row>
    <row r="202" spans="1:9" ht="30" x14ac:dyDescent="0.25">
      <c r="A202" s="136">
        <v>154</v>
      </c>
      <c r="B202" s="64" t="s">
        <v>327</v>
      </c>
      <c r="C202" s="51">
        <v>8100000000</v>
      </c>
      <c r="D202" s="51"/>
      <c r="E202" s="39"/>
      <c r="F202" s="35">
        <f t="shared" ref="F202:H202" si="45">F203</f>
        <v>6415409.5</v>
      </c>
      <c r="G202" s="35">
        <f t="shared" si="45"/>
        <v>6415409.5</v>
      </c>
      <c r="H202" s="35">
        <f t="shared" si="45"/>
        <v>6225124.8399999999</v>
      </c>
      <c r="I202" s="287">
        <f t="shared" si="29"/>
        <v>97.033943663300064</v>
      </c>
    </row>
    <row r="203" spans="1:9" x14ac:dyDescent="0.25">
      <c r="A203" s="136">
        <v>155</v>
      </c>
      <c r="B203" s="49" t="s">
        <v>275</v>
      </c>
      <c r="C203" s="51">
        <v>8110000000</v>
      </c>
      <c r="D203" s="51"/>
      <c r="E203" s="39"/>
      <c r="F203" s="35">
        <f t="shared" ref="F203" si="46">F204+F205+F207+F208+F209+F206</f>
        <v>6415409.5</v>
      </c>
      <c r="G203" s="35">
        <f t="shared" ref="G203" si="47">G204+G205+G207+G208+G209+G206</f>
        <v>6415409.5</v>
      </c>
      <c r="H203" s="35">
        <f t="shared" ref="H203" si="48">H204+H205+H207+H208+H209+H206</f>
        <v>6225124.8399999999</v>
      </c>
      <c r="I203" s="287">
        <f t="shared" ref="I203:I261" si="49">H203/G203*100</f>
        <v>97.033943663300064</v>
      </c>
    </row>
    <row r="204" spans="1:9" ht="28.5" customHeight="1" x14ac:dyDescent="0.25">
      <c r="A204" s="342">
        <v>156</v>
      </c>
      <c r="B204" s="357" t="s">
        <v>319</v>
      </c>
      <c r="C204" s="342">
        <v>8110000210</v>
      </c>
      <c r="D204" s="61">
        <v>120</v>
      </c>
      <c r="E204" s="62" t="s">
        <v>89</v>
      </c>
      <c r="F204" s="43">
        <f>'приложение 4'!G696</f>
        <v>2527346.0699999998</v>
      </c>
      <c r="G204" s="43">
        <f>'приложение 4'!H696</f>
        <v>2527346.0699999998</v>
      </c>
      <c r="H204" s="43">
        <f>'приложение 4'!I696</f>
        <v>2423767.4700000002</v>
      </c>
      <c r="I204" s="287">
        <f t="shared" si="49"/>
        <v>95.901685122212029</v>
      </c>
    </row>
    <row r="205" spans="1:9" ht="27.75" customHeight="1" x14ac:dyDescent="0.25">
      <c r="A205" s="343"/>
      <c r="B205" s="374"/>
      <c r="C205" s="343"/>
      <c r="D205" s="61">
        <v>240</v>
      </c>
      <c r="E205" s="62" t="s">
        <v>89</v>
      </c>
      <c r="F205" s="43">
        <f>'приложение 4'!G698</f>
        <v>526910</v>
      </c>
      <c r="G205" s="43">
        <f>'приложение 4'!H698</f>
        <v>526910</v>
      </c>
      <c r="H205" s="43">
        <f>'приложение 4'!I698</f>
        <v>523885.66</v>
      </c>
      <c r="I205" s="287">
        <f t="shared" si="49"/>
        <v>99.426023419559314</v>
      </c>
    </row>
    <row r="206" spans="1:9" ht="43.5" customHeight="1" x14ac:dyDescent="0.25">
      <c r="A206" s="344"/>
      <c r="B206" s="358"/>
      <c r="C206" s="344"/>
      <c r="D206" s="85">
        <v>850</v>
      </c>
      <c r="E206" s="86" t="s">
        <v>89</v>
      </c>
      <c r="F206" s="43">
        <f>'приложение 4'!G700</f>
        <v>500</v>
      </c>
      <c r="G206" s="43">
        <f>'приложение 4'!H700</f>
        <v>500</v>
      </c>
      <c r="H206" s="43">
        <f>'приложение 4'!I700</f>
        <v>0</v>
      </c>
      <c r="I206" s="287">
        <f t="shared" si="49"/>
        <v>0</v>
      </c>
    </row>
    <row r="207" spans="1:9" ht="63" customHeight="1" x14ac:dyDescent="0.25">
      <c r="A207" s="136">
        <v>157</v>
      </c>
      <c r="B207" s="59" t="s">
        <v>320</v>
      </c>
      <c r="C207" s="28">
        <f>'приложение 4'!E701</f>
        <v>8110000220</v>
      </c>
      <c r="D207" s="61">
        <v>120</v>
      </c>
      <c r="E207" s="62" t="s">
        <v>89</v>
      </c>
      <c r="F207" s="43">
        <f>'приложение 4'!G703</f>
        <v>645849.28999999992</v>
      </c>
      <c r="G207" s="43">
        <f>'приложение 4'!H703</f>
        <v>645849.29</v>
      </c>
      <c r="H207" s="43">
        <f>'приложение 4'!I703</f>
        <v>644521.68999999994</v>
      </c>
      <c r="I207" s="287">
        <f t="shared" si="49"/>
        <v>99.794441207793213</v>
      </c>
    </row>
    <row r="208" spans="1:9" ht="50.25" customHeight="1" x14ac:dyDescent="0.25">
      <c r="A208" s="136">
        <v>158</v>
      </c>
      <c r="B208" s="47" t="s">
        <v>392</v>
      </c>
      <c r="C208" s="28" t="str">
        <f>'приложение 4'!E704</f>
        <v>8110000230</v>
      </c>
      <c r="D208" s="61">
        <v>120</v>
      </c>
      <c r="E208" s="62" t="s">
        <v>89</v>
      </c>
      <c r="F208" s="43">
        <f>'приложение 4'!G706</f>
        <v>2589804.1399999997</v>
      </c>
      <c r="G208" s="43">
        <f>'приложение 4'!H706</f>
        <v>2589804.14</v>
      </c>
      <c r="H208" s="43">
        <f>'приложение 4'!I706</f>
        <v>2507950.02</v>
      </c>
      <c r="I208" s="287">
        <f t="shared" si="49"/>
        <v>96.839370254462565</v>
      </c>
    </row>
    <row r="209" spans="1:9" ht="29.25" customHeight="1" x14ac:dyDescent="0.25">
      <c r="A209" s="136">
        <v>159</v>
      </c>
      <c r="B209" s="59" t="s">
        <v>317</v>
      </c>
      <c r="C209" s="28">
        <v>8110000240</v>
      </c>
      <c r="D209" s="61">
        <v>120</v>
      </c>
      <c r="E209" s="62" t="s">
        <v>89</v>
      </c>
      <c r="F209" s="43">
        <f>'приложение 4'!G709</f>
        <v>125000.00000000009</v>
      </c>
      <c r="G209" s="43">
        <f>'приложение 4'!H709</f>
        <v>125000</v>
      </c>
      <c r="H209" s="43">
        <f>'приложение 4'!I709</f>
        <v>125000</v>
      </c>
      <c r="I209" s="287">
        <f t="shared" si="49"/>
        <v>100</v>
      </c>
    </row>
    <row r="210" spans="1:9" ht="28.5" x14ac:dyDescent="0.25">
      <c r="A210" s="136">
        <v>160</v>
      </c>
      <c r="B210" s="68" t="s">
        <v>296</v>
      </c>
      <c r="C210" s="41">
        <v>8200000000</v>
      </c>
      <c r="D210" s="41"/>
      <c r="E210" s="41"/>
      <c r="F210" s="69">
        <f t="shared" ref="F210:H210" si="50">F211</f>
        <v>4836874.0399999991</v>
      </c>
      <c r="G210" s="69">
        <f t="shared" si="50"/>
        <v>4836874.04</v>
      </c>
      <c r="H210" s="69">
        <f t="shared" si="50"/>
        <v>4789509.51</v>
      </c>
      <c r="I210" s="287">
        <f t="shared" si="49"/>
        <v>99.020761557809749</v>
      </c>
    </row>
    <row r="211" spans="1:9" ht="30" x14ac:dyDescent="0.25">
      <c r="A211" s="136">
        <v>161</v>
      </c>
      <c r="B211" s="49" t="s">
        <v>274</v>
      </c>
      <c r="C211" s="51">
        <v>8210000000</v>
      </c>
      <c r="D211" s="51"/>
      <c r="E211" s="51"/>
      <c r="F211" s="144">
        <f>F212+F213+F214+F215+F216</f>
        <v>4836874.0399999991</v>
      </c>
      <c r="G211" s="193">
        <f t="shared" ref="G211:H211" si="51">G212+G213+G214+G215+G216</f>
        <v>4836874.04</v>
      </c>
      <c r="H211" s="193">
        <f t="shared" si="51"/>
        <v>4789509.51</v>
      </c>
      <c r="I211" s="287">
        <f t="shared" si="49"/>
        <v>99.020761557809749</v>
      </c>
    </row>
    <row r="212" spans="1:9" x14ac:dyDescent="0.25">
      <c r="A212" s="329">
        <v>162</v>
      </c>
      <c r="B212" s="375" t="s">
        <v>74</v>
      </c>
      <c r="C212" s="329">
        <v>8210000210</v>
      </c>
      <c r="D212" s="28">
        <v>120</v>
      </c>
      <c r="E212" s="29" t="s">
        <v>91</v>
      </c>
      <c r="F212" s="135">
        <f>'приложение 4'!G678</f>
        <v>2635802.4799999995</v>
      </c>
      <c r="G212" s="135">
        <f>'приложение 4'!H678</f>
        <v>2635802.48</v>
      </c>
      <c r="H212" s="145">
        <f>'приложение 4'!I678</f>
        <v>2589147.9500000002</v>
      </c>
      <c r="I212" s="287">
        <f t="shared" si="49"/>
        <v>98.229968658349549</v>
      </c>
    </row>
    <row r="213" spans="1:9" x14ac:dyDescent="0.25">
      <c r="A213" s="329"/>
      <c r="B213" s="375"/>
      <c r="C213" s="329"/>
      <c r="D213" s="28">
        <v>240</v>
      </c>
      <c r="E213" s="29" t="s">
        <v>91</v>
      </c>
      <c r="F213" s="135">
        <f>'приложение 4'!G680</f>
        <v>262142.82</v>
      </c>
      <c r="G213" s="135">
        <f>'приложение 4'!H680</f>
        <v>262142.82</v>
      </c>
      <c r="H213" s="145">
        <f>'приложение 4'!I680</f>
        <v>261932.82</v>
      </c>
      <c r="I213" s="287">
        <f t="shared" si="49"/>
        <v>99.919890996823796</v>
      </c>
    </row>
    <row r="214" spans="1:9" x14ac:dyDescent="0.25">
      <c r="A214" s="329"/>
      <c r="B214" s="375"/>
      <c r="C214" s="329"/>
      <c r="D214" s="28">
        <v>850</v>
      </c>
      <c r="E214" s="29" t="s">
        <v>91</v>
      </c>
      <c r="F214" s="135">
        <f>'приложение 4'!G682</f>
        <v>500</v>
      </c>
      <c r="G214" s="135">
        <f>'приложение 4'!H682</f>
        <v>500</v>
      </c>
      <c r="H214" s="145">
        <f>'приложение 4'!I682</f>
        <v>0</v>
      </c>
      <c r="I214" s="287">
        <f t="shared" si="49"/>
        <v>0</v>
      </c>
    </row>
    <row r="215" spans="1:9" x14ac:dyDescent="0.25">
      <c r="A215" s="141">
        <v>163</v>
      </c>
      <c r="B215" s="142" t="s">
        <v>444</v>
      </c>
      <c r="C215" s="141">
        <f>'приложение 4'!E684</f>
        <v>8210000250</v>
      </c>
      <c r="D215" s="141">
        <v>120</v>
      </c>
      <c r="E215" s="140" t="s">
        <v>91</v>
      </c>
      <c r="F215" s="143">
        <f>'приложение 4'!G685</f>
        <v>1510217.74</v>
      </c>
      <c r="G215" s="143">
        <f>'приложение 4'!H685</f>
        <v>1510217.74</v>
      </c>
      <c r="H215" s="145">
        <f>'приложение 4'!I685</f>
        <v>1510217.74</v>
      </c>
      <c r="I215" s="287">
        <f t="shared" si="49"/>
        <v>100</v>
      </c>
    </row>
    <row r="216" spans="1:9" ht="30" x14ac:dyDescent="0.25">
      <c r="A216" s="192">
        <v>164</v>
      </c>
      <c r="B216" s="198" t="s">
        <v>484</v>
      </c>
      <c r="C216" s="197" t="str">
        <f>'приложение 4'!E688</f>
        <v>8210084600</v>
      </c>
      <c r="D216" s="192">
        <v>240</v>
      </c>
      <c r="E216" s="197" t="s">
        <v>91</v>
      </c>
      <c r="F216" s="195">
        <f>'приложение 4'!G688</f>
        <v>428211</v>
      </c>
      <c r="G216" s="195">
        <f>'приложение 4'!H688</f>
        <v>428211</v>
      </c>
      <c r="H216" s="195">
        <f>'приложение 4'!I688</f>
        <v>428211</v>
      </c>
      <c r="I216" s="287">
        <f t="shared" si="49"/>
        <v>100</v>
      </c>
    </row>
    <row r="217" spans="1:9" ht="28.5" x14ac:dyDescent="0.25">
      <c r="A217" s="136">
        <v>165</v>
      </c>
      <c r="B217" s="70" t="s">
        <v>293</v>
      </c>
      <c r="C217" s="51">
        <v>8500000000</v>
      </c>
      <c r="D217" s="28"/>
      <c r="E217" s="29"/>
      <c r="F217" s="44">
        <f t="shared" ref="F217:H217" si="52">F218</f>
        <v>61536799.400000006</v>
      </c>
      <c r="G217" s="44">
        <f t="shared" si="52"/>
        <v>61536799.400000006</v>
      </c>
      <c r="H217" s="44">
        <f t="shared" si="52"/>
        <v>54831761.530000016</v>
      </c>
      <c r="I217" s="287">
        <f t="shared" si="49"/>
        <v>89.104019163531618</v>
      </c>
    </row>
    <row r="218" spans="1:9" x14ac:dyDescent="0.25">
      <c r="A218" s="136">
        <v>166</v>
      </c>
      <c r="B218" s="50" t="s">
        <v>254</v>
      </c>
      <c r="C218" s="51">
        <v>8510000000</v>
      </c>
      <c r="D218" s="51"/>
      <c r="E218" s="39"/>
      <c r="F218" s="35">
        <f>F219+F220+F221+F222+F223+F224+F225+F226+F227+F228+F229+F230+F233+F236+F237+F240+F241+F238+F239+F234+F235+F232</f>
        <v>61536799.400000006</v>
      </c>
      <c r="G218" s="35">
        <f t="shared" ref="G218:H218" si="53">G219+G220+G221+G222+G223+G224+G225+G226+G227+G228+G229+G230+G233+G236+G237+G240+G241+G238+G239+G234+G235+G232</f>
        <v>61536799.400000006</v>
      </c>
      <c r="H218" s="35">
        <f t="shared" si="53"/>
        <v>54831761.530000016</v>
      </c>
      <c r="I218" s="287">
        <f t="shared" si="49"/>
        <v>89.104019163531618</v>
      </c>
    </row>
    <row r="219" spans="1:9" ht="30" x14ac:dyDescent="0.25">
      <c r="A219" s="136">
        <v>167</v>
      </c>
      <c r="B219" s="59" t="s">
        <v>255</v>
      </c>
      <c r="C219" s="28">
        <v>8510000210</v>
      </c>
      <c r="D219" s="28">
        <v>120</v>
      </c>
      <c r="E219" s="29" t="s">
        <v>87</v>
      </c>
      <c r="F219" s="27">
        <f>'приложение 4'!G134</f>
        <v>1959083.1999999997</v>
      </c>
      <c r="G219" s="27">
        <f>'приложение 4'!H134</f>
        <v>1959083.2</v>
      </c>
      <c r="H219" s="27">
        <f>'приложение 4'!I134</f>
        <v>1934440.59</v>
      </c>
      <c r="I219" s="287">
        <f t="shared" si="49"/>
        <v>98.742135607104387</v>
      </c>
    </row>
    <row r="220" spans="1:9" ht="27" customHeight="1" x14ac:dyDescent="0.25">
      <c r="A220" s="342">
        <v>168</v>
      </c>
      <c r="B220" s="330" t="s">
        <v>369</v>
      </c>
      <c r="C220" s="339" t="s">
        <v>258</v>
      </c>
      <c r="D220" s="28">
        <v>120</v>
      </c>
      <c r="E220" s="29" t="s">
        <v>90</v>
      </c>
      <c r="F220" s="27">
        <f>'приложение 4'!G140</f>
        <v>35194130.020000003</v>
      </c>
      <c r="G220" s="27">
        <f>'приложение 4'!H140</f>
        <v>35194130.020000003</v>
      </c>
      <c r="H220" s="27">
        <f>'приложение 4'!I140</f>
        <v>34278547.289999999</v>
      </c>
      <c r="I220" s="287">
        <f t="shared" si="49"/>
        <v>97.398478867130109</v>
      </c>
    </row>
    <row r="221" spans="1:9" ht="21.75" customHeight="1" x14ac:dyDescent="0.25">
      <c r="A221" s="343"/>
      <c r="B221" s="330"/>
      <c r="C221" s="339"/>
      <c r="D221" s="28">
        <v>240</v>
      </c>
      <c r="E221" s="29" t="s">
        <v>90</v>
      </c>
      <c r="F221" s="27">
        <f>'приложение 4'!G142</f>
        <v>5844700</v>
      </c>
      <c r="G221" s="27">
        <f>'приложение 4'!H142</f>
        <v>5844700</v>
      </c>
      <c r="H221" s="27">
        <f>'приложение 4'!I142</f>
        <v>4768456.53</v>
      </c>
      <c r="I221" s="287">
        <f t="shared" si="49"/>
        <v>81.585992950878577</v>
      </c>
    </row>
    <row r="222" spans="1:9" ht="28.5" customHeight="1" x14ac:dyDescent="0.25">
      <c r="A222" s="344"/>
      <c r="B222" s="330"/>
      <c r="C222" s="339"/>
      <c r="D222" s="28">
        <v>850</v>
      </c>
      <c r="E222" s="29" t="s">
        <v>90</v>
      </c>
      <c r="F222" s="27">
        <f>'приложение 4'!G144</f>
        <v>2372530</v>
      </c>
      <c r="G222" s="27">
        <f>'приложение 4'!H144</f>
        <v>2372530</v>
      </c>
      <c r="H222" s="27">
        <f>'приложение 4'!I144</f>
        <v>2371572.7400000002</v>
      </c>
      <c r="I222" s="287">
        <f t="shared" si="49"/>
        <v>99.959652354237889</v>
      </c>
    </row>
    <row r="223" spans="1:9" ht="62.25" customHeight="1" x14ac:dyDescent="0.25">
      <c r="A223" s="136">
        <v>169</v>
      </c>
      <c r="B223" s="47" t="s">
        <v>371</v>
      </c>
      <c r="C223" s="29" t="str">
        <f>'приложение 4'!E145</f>
        <v>8510000250</v>
      </c>
      <c r="D223" s="28">
        <v>120</v>
      </c>
      <c r="E223" s="29" t="s">
        <v>90</v>
      </c>
      <c r="F223" s="27">
        <f>'приложение 4'!G147</f>
        <v>6226236.6900000004</v>
      </c>
      <c r="G223" s="27">
        <f>'приложение 4'!H147</f>
        <v>6226236.6900000004</v>
      </c>
      <c r="H223" s="27">
        <f>'приложение 4'!I147</f>
        <v>5075656.49</v>
      </c>
      <c r="I223" s="287">
        <f t="shared" si="49"/>
        <v>81.520455175628726</v>
      </c>
    </row>
    <row r="224" spans="1:9" ht="60" x14ac:dyDescent="0.25">
      <c r="A224" s="136">
        <v>170</v>
      </c>
      <c r="B224" s="87" t="s">
        <v>394</v>
      </c>
      <c r="C224" s="28">
        <v>8510051200</v>
      </c>
      <c r="D224" s="28">
        <v>240</v>
      </c>
      <c r="E224" s="29" t="s">
        <v>158</v>
      </c>
      <c r="F224" s="27">
        <f>'приложение 4'!G153</f>
        <v>6000</v>
      </c>
      <c r="G224" s="27">
        <f>'приложение 4'!H153</f>
        <v>6000</v>
      </c>
      <c r="H224" s="27">
        <f>'приложение 4'!I153</f>
        <v>6000</v>
      </c>
      <c r="I224" s="287">
        <f t="shared" si="49"/>
        <v>100</v>
      </c>
    </row>
    <row r="225" spans="1:9" x14ac:dyDescent="0.25">
      <c r="A225" s="136">
        <v>171</v>
      </c>
      <c r="B225" s="31" t="s">
        <v>33</v>
      </c>
      <c r="C225" s="28">
        <v>8510010110</v>
      </c>
      <c r="D225" s="28">
        <v>870</v>
      </c>
      <c r="E225" s="29" t="s">
        <v>92</v>
      </c>
      <c r="F225" s="27">
        <f>'приложение 4'!G159</f>
        <v>2315000</v>
      </c>
      <c r="G225" s="27">
        <f>'приложение 4'!H159</f>
        <v>2140000</v>
      </c>
      <c r="H225" s="27">
        <f>'приложение 4'!I159</f>
        <v>0</v>
      </c>
      <c r="I225" s="287">
        <f t="shared" si="49"/>
        <v>0</v>
      </c>
    </row>
    <row r="226" spans="1:9" ht="23.25" customHeight="1" x14ac:dyDescent="0.25">
      <c r="A226" s="329">
        <v>172</v>
      </c>
      <c r="B226" s="373" t="s">
        <v>35</v>
      </c>
      <c r="C226" s="329">
        <v>8510074290</v>
      </c>
      <c r="D226" s="28">
        <v>120</v>
      </c>
      <c r="E226" s="29" t="s">
        <v>93</v>
      </c>
      <c r="F226" s="27">
        <f>'приложение 4'!G165</f>
        <v>62600</v>
      </c>
      <c r="G226" s="27">
        <f>'приложение 4'!H165</f>
        <v>62600</v>
      </c>
      <c r="H226" s="27">
        <f>'приложение 4'!I165</f>
        <v>52432.53</v>
      </c>
      <c r="I226" s="287">
        <f t="shared" si="49"/>
        <v>83.758035143769973</v>
      </c>
    </row>
    <row r="227" spans="1:9" ht="40.5" customHeight="1" x14ac:dyDescent="0.25">
      <c r="A227" s="329"/>
      <c r="B227" s="373"/>
      <c r="C227" s="329"/>
      <c r="D227" s="28">
        <v>240</v>
      </c>
      <c r="E227" s="29" t="s">
        <v>93</v>
      </c>
      <c r="F227" s="27">
        <f>'приложение 4'!G167</f>
        <v>2300</v>
      </c>
      <c r="G227" s="27">
        <f>'приложение 4'!H167</f>
        <v>2300</v>
      </c>
      <c r="H227" s="27">
        <f>'приложение 4'!I167</f>
        <v>2300</v>
      </c>
      <c r="I227" s="287">
        <f t="shared" si="49"/>
        <v>100</v>
      </c>
    </row>
    <row r="228" spans="1:9" ht="24.75" customHeight="1" x14ac:dyDescent="0.25">
      <c r="A228" s="329">
        <v>173</v>
      </c>
      <c r="B228" s="330" t="s">
        <v>29</v>
      </c>
      <c r="C228" s="329">
        <v>8510076040</v>
      </c>
      <c r="D228" s="28">
        <v>120</v>
      </c>
      <c r="E228" s="29" t="s">
        <v>93</v>
      </c>
      <c r="F228" s="27">
        <f>'приложение 4'!G170</f>
        <v>1042738.06</v>
      </c>
      <c r="G228" s="27">
        <f>'приложение 4'!H170</f>
        <v>1042738.06</v>
      </c>
      <c r="H228" s="27">
        <f>'приложение 4'!I170</f>
        <v>1041549.88</v>
      </c>
      <c r="I228" s="287">
        <f t="shared" si="49"/>
        <v>99.886051919884849</v>
      </c>
    </row>
    <row r="229" spans="1:9" ht="36.75" customHeight="1" x14ac:dyDescent="0.25">
      <c r="A229" s="329"/>
      <c r="B229" s="330"/>
      <c r="C229" s="329"/>
      <c r="D229" s="28">
        <v>240</v>
      </c>
      <c r="E229" s="29" t="s">
        <v>93</v>
      </c>
      <c r="F229" s="27">
        <f>'приложение 4'!G172</f>
        <v>68761.94</v>
      </c>
      <c r="G229" s="27">
        <f>'приложение 4'!H172</f>
        <v>68761.94</v>
      </c>
      <c r="H229" s="27">
        <f>'приложение 4'!I172</f>
        <v>68740.63</v>
      </c>
      <c r="I229" s="287">
        <f t="shared" si="49"/>
        <v>99.969009018651889</v>
      </c>
    </row>
    <row r="230" spans="1:9" ht="26.25" customHeight="1" x14ac:dyDescent="0.25">
      <c r="A230" s="342">
        <v>174</v>
      </c>
      <c r="B230" s="355" t="s">
        <v>36</v>
      </c>
      <c r="C230" s="342">
        <v>8510092020</v>
      </c>
      <c r="D230" s="342">
        <v>830</v>
      </c>
      <c r="E230" s="346" t="s">
        <v>93</v>
      </c>
      <c r="F230" s="325">
        <f>'приложение 4'!G175</f>
        <v>300000</v>
      </c>
      <c r="G230" s="325">
        <f>'приложение 4'!H175</f>
        <v>300000</v>
      </c>
      <c r="H230" s="325">
        <f>'приложение 4'!I175</f>
        <v>268041.48</v>
      </c>
      <c r="I230" s="322">
        <f t="shared" si="49"/>
        <v>89.347159999999988</v>
      </c>
    </row>
    <row r="231" spans="1:9" ht="42.75" customHeight="1" x14ac:dyDescent="0.25">
      <c r="A231" s="344"/>
      <c r="B231" s="356"/>
      <c r="C231" s="344"/>
      <c r="D231" s="344"/>
      <c r="E231" s="348"/>
      <c r="F231" s="326"/>
      <c r="G231" s="326"/>
      <c r="H231" s="326"/>
      <c r="I231" s="323"/>
    </row>
    <row r="232" spans="1:9" ht="42.75" customHeight="1" x14ac:dyDescent="0.25">
      <c r="A232" s="263">
        <v>175</v>
      </c>
      <c r="B232" s="265" t="str">
        <f>'приложение 4'!B341</f>
        <v>Предоставление разовой материальной помощи членам семей лиц , принимающих (принимавших) участие в специальной военной операции</v>
      </c>
      <c r="C232" s="268" t="str">
        <f>'приложение 4'!E341</f>
        <v>8510080030</v>
      </c>
      <c r="D232" s="272">
        <f>'приложение 4'!F343</f>
        <v>320</v>
      </c>
      <c r="E232" s="268" t="str">
        <f>'приложение 4'!D341</f>
        <v>1006</v>
      </c>
      <c r="F232" s="273">
        <f>'приложение 4'!G341</f>
        <v>2065000</v>
      </c>
      <c r="G232" s="270">
        <f>'приложение 4'!H341</f>
        <v>2240000</v>
      </c>
      <c r="H232" s="270">
        <f>'приложение 4'!I341</f>
        <v>2240000</v>
      </c>
      <c r="I232" s="287">
        <f t="shared" si="49"/>
        <v>100</v>
      </c>
    </row>
    <row r="233" spans="1:9" ht="42" customHeight="1" x14ac:dyDescent="0.25">
      <c r="A233" s="136">
        <v>176</v>
      </c>
      <c r="B233" s="78" t="s">
        <v>242</v>
      </c>
      <c r="C233" s="28" t="s">
        <v>261</v>
      </c>
      <c r="D233" s="271">
        <v>240</v>
      </c>
      <c r="E233" s="29" t="s">
        <v>93</v>
      </c>
      <c r="F233" s="27">
        <f>'приложение 4'!G178</f>
        <v>167662.97</v>
      </c>
      <c r="G233" s="27">
        <f>'приложение 4'!H178</f>
        <v>167662.97</v>
      </c>
      <c r="H233" s="27">
        <f>'приложение 4'!I178</f>
        <v>65565.070000000007</v>
      </c>
      <c r="I233" s="287">
        <f t="shared" si="49"/>
        <v>39.10527768892559</v>
      </c>
    </row>
    <row r="234" spans="1:9" ht="42" customHeight="1" x14ac:dyDescent="0.25">
      <c r="A234" s="342">
        <v>177</v>
      </c>
      <c r="B234" s="357" t="str">
        <f>'приложение 4'!B220</f>
        <v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v>
      </c>
      <c r="C234" s="346" t="str">
        <f>'приложение 4'!E224</f>
        <v>8510076850</v>
      </c>
      <c r="D234" s="208">
        <v>120</v>
      </c>
      <c r="E234" s="209" t="s">
        <v>102</v>
      </c>
      <c r="F234" s="27">
        <f>'приложение 4'!G222</f>
        <v>219161.62</v>
      </c>
      <c r="G234" s="27">
        <f>'приложение 4'!H222</f>
        <v>219161.62</v>
      </c>
      <c r="H234" s="27">
        <f>'приложение 4'!I222</f>
        <v>206322.4</v>
      </c>
      <c r="I234" s="287">
        <f t="shared" si="49"/>
        <v>94.141665862845883</v>
      </c>
    </row>
    <row r="235" spans="1:9" ht="42" customHeight="1" x14ac:dyDescent="0.25">
      <c r="A235" s="344"/>
      <c r="B235" s="358"/>
      <c r="C235" s="344"/>
      <c r="D235" s="208">
        <v>240</v>
      </c>
      <c r="E235" s="209" t="s">
        <v>102</v>
      </c>
      <c r="F235" s="27">
        <f>'приложение 4'!G224</f>
        <v>27738.38</v>
      </c>
      <c r="G235" s="27">
        <f>'приложение 4'!H224</f>
        <v>27738.38</v>
      </c>
      <c r="H235" s="27">
        <f>'приложение 4'!I224</f>
        <v>16394.77</v>
      </c>
      <c r="I235" s="287">
        <f t="shared" si="49"/>
        <v>59.105001806161717</v>
      </c>
    </row>
    <row r="236" spans="1:9" x14ac:dyDescent="0.25">
      <c r="A236" s="329">
        <v>178</v>
      </c>
      <c r="B236" s="330" t="s">
        <v>381</v>
      </c>
      <c r="C236" s="340">
        <f>'приложение 4'!E332</f>
        <v>8510002890</v>
      </c>
      <c r="D236" s="28">
        <v>120</v>
      </c>
      <c r="E236" s="339" t="s">
        <v>127</v>
      </c>
      <c r="F236" s="27">
        <f>'приложение 4'!G333</f>
        <v>1042738.06</v>
      </c>
      <c r="G236" s="27">
        <f>'приложение 4'!H333</f>
        <v>1042738.06</v>
      </c>
      <c r="H236" s="27">
        <f>'приложение 4'!I333</f>
        <v>985568.89</v>
      </c>
      <c r="I236" s="287">
        <f t="shared" si="49"/>
        <v>94.51739874154012</v>
      </c>
    </row>
    <row r="237" spans="1:9" ht="36" customHeight="1" x14ac:dyDescent="0.25">
      <c r="A237" s="329"/>
      <c r="B237" s="330"/>
      <c r="C237" s="340"/>
      <c r="D237" s="28">
        <v>240</v>
      </c>
      <c r="E237" s="339"/>
      <c r="F237" s="27">
        <f>'приложение 4'!G335</f>
        <v>148461.94</v>
      </c>
      <c r="G237" s="27">
        <f>'приложение 4'!H335</f>
        <v>148461.94</v>
      </c>
      <c r="H237" s="27">
        <f>'приложение 4'!I335</f>
        <v>124961.51</v>
      </c>
      <c r="I237" s="287">
        <f t="shared" si="49"/>
        <v>84.170737631476456</v>
      </c>
    </row>
    <row r="238" spans="1:9" x14ac:dyDescent="0.25">
      <c r="A238" s="342">
        <v>179</v>
      </c>
      <c r="B238" s="367" t="s">
        <v>445</v>
      </c>
      <c r="C238" s="369">
        <f>'приложение 4'!E336</f>
        <v>8510078460</v>
      </c>
      <c r="D238" s="149">
        <v>120</v>
      </c>
      <c r="E238" s="346" t="s">
        <v>127</v>
      </c>
      <c r="F238" s="27">
        <f>'приложение 4'!G338</f>
        <v>56351</v>
      </c>
      <c r="G238" s="27">
        <f>'приложение 4'!H338</f>
        <v>56351</v>
      </c>
      <c r="H238" s="27">
        <f>'приложение 4'!I338</f>
        <v>55846.239999999998</v>
      </c>
      <c r="I238" s="287">
        <f t="shared" si="49"/>
        <v>99.104257244769386</v>
      </c>
    </row>
    <row r="239" spans="1:9" x14ac:dyDescent="0.25">
      <c r="A239" s="344"/>
      <c r="B239" s="368"/>
      <c r="C239" s="370"/>
      <c r="D239" s="149">
        <v>240</v>
      </c>
      <c r="E239" s="348"/>
      <c r="F239" s="27">
        <f>'приложение 4'!G340</f>
        <v>6749</v>
      </c>
      <c r="G239" s="27">
        <f>'приложение 4'!H340</f>
        <v>6749</v>
      </c>
      <c r="H239" s="27">
        <f>'приложение 4'!I340</f>
        <v>1449</v>
      </c>
      <c r="I239" s="287">
        <f t="shared" si="49"/>
        <v>21.469847384797745</v>
      </c>
    </row>
    <row r="240" spans="1:9" ht="34.5" customHeight="1" x14ac:dyDescent="0.25">
      <c r="A240" s="136">
        <v>180</v>
      </c>
      <c r="B240" s="76" t="s">
        <v>398</v>
      </c>
      <c r="C240" s="60">
        <f>'приложение 4'!E181</f>
        <v>8510084570</v>
      </c>
      <c r="D240" s="28">
        <v>240</v>
      </c>
      <c r="E240" s="29" t="s">
        <v>93</v>
      </c>
      <c r="F240" s="27">
        <f>'приложение 4'!G181</f>
        <v>70720.51999999999</v>
      </c>
      <c r="G240" s="27">
        <f>'приложение 4'!H181</f>
        <v>70720.52</v>
      </c>
      <c r="H240" s="27">
        <f>'приложение 4'!I181</f>
        <v>70366.399999999994</v>
      </c>
      <c r="I240" s="287">
        <f t="shared" si="49"/>
        <v>99.499268387732428</v>
      </c>
    </row>
    <row r="241" spans="1:9" ht="48" customHeight="1" x14ac:dyDescent="0.25">
      <c r="A241" s="136">
        <v>181</v>
      </c>
      <c r="B241" s="119" t="s">
        <v>417</v>
      </c>
      <c r="C241" s="118">
        <f>'приложение 4'!E184</f>
        <v>8510084580</v>
      </c>
      <c r="D241" s="116">
        <v>240</v>
      </c>
      <c r="E241" s="114" t="s">
        <v>93</v>
      </c>
      <c r="F241" s="27">
        <f>'приложение 4'!G184</f>
        <v>2338136</v>
      </c>
      <c r="G241" s="27">
        <f>'приложение 4'!H184</f>
        <v>2338136</v>
      </c>
      <c r="H241" s="27">
        <f>'приложение 4'!I184</f>
        <v>1197549.0900000001</v>
      </c>
      <c r="I241" s="287">
        <f t="shared" si="49"/>
        <v>51.218110922546856</v>
      </c>
    </row>
    <row r="242" spans="1:9" x14ac:dyDescent="0.25">
      <c r="A242" s="136">
        <v>182</v>
      </c>
      <c r="B242" s="75" t="s">
        <v>294</v>
      </c>
      <c r="C242" s="51">
        <v>9100000000</v>
      </c>
      <c r="D242" s="28"/>
      <c r="E242" s="29"/>
      <c r="F242" s="44">
        <f>F243+F246+F250</f>
        <v>92627019.159999996</v>
      </c>
      <c r="G242" s="44">
        <f t="shared" ref="G242:H242" si="54">G243+G246+G250</f>
        <v>92627019.160000011</v>
      </c>
      <c r="H242" s="44">
        <f t="shared" si="54"/>
        <v>92490902.099999994</v>
      </c>
      <c r="I242" s="287">
        <f t="shared" si="49"/>
        <v>99.853048212892517</v>
      </c>
    </row>
    <row r="243" spans="1:9" ht="26.25" customHeight="1" x14ac:dyDescent="0.25">
      <c r="A243" s="222">
        <v>183</v>
      </c>
      <c r="B243" s="229" t="s">
        <v>526</v>
      </c>
      <c r="C243" s="224">
        <v>9140000000</v>
      </c>
      <c r="D243" s="222"/>
      <c r="E243" s="226"/>
      <c r="F243" s="44">
        <f>F244+F245</f>
        <v>484500</v>
      </c>
      <c r="G243" s="44">
        <f t="shared" ref="G243:H243" si="55">G244+G245</f>
        <v>484500</v>
      </c>
      <c r="H243" s="44">
        <f t="shared" si="55"/>
        <v>484073.65</v>
      </c>
      <c r="I243" s="287">
        <f t="shared" si="49"/>
        <v>99.912002063983493</v>
      </c>
    </row>
    <row r="244" spans="1:9" ht="51.75" customHeight="1" x14ac:dyDescent="0.25">
      <c r="A244" s="342">
        <v>184</v>
      </c>
      <c r="B244" s="355" t="s">
        <v>528</v>
      </c>
      <c r="C244" s="342" t="s">
        <v>529</v>
      </c>
      <c r="D244" s="342">
        <v>610</v>
      </c>
      <c r="E244" s="226" t="s">
        <v>115</v>
      </c>
      <c r="F244" s="27">
        <f>'приложение 4'!G458</f>
        <v>154325</v>
      </c>
      <c r="G244" s="27">
        <f>'приложение 4'!H458</f>
        <v>154325</v>
      </c>
      <c r="H244" s="27">
        <f>'приложение 4'!I458</f>
        <v>154325</v>
      </c>
      <c r="I244" s="287">
        <f t="shared" si="49"/>
        <v>100</v>
      </c>
    </row>
    <row r="245" spans="1:9" ht="39" customHeight="1" x14ac:dyDescent="0.25">
      <c r="A245" s="344"/>
      <c r="B245" s="356"/>
      <c r="C245" s="344"/>
      <c r="D245" s="344"/>
      <c r="E245" s="226" t="s">
        <v>116</v>
      </c>
      <c r="F245" s="27">
        <f>'приложение 4'!G517</f>
        <v>330175</v>
      </c>
      <c r="G245" s="27">
        <f>'приложение 4'!H517</f>
        <v>330175</v>
      </c>
      <c r="H245" s="27">
        <f>'приложение 4'!I517</f>
        <v>329748.65000000002</v>
      </c>
      <c r="I245" s="287">
        <f t="shared" si="49"/>
        <v>99.870871507533892</v>
      </c>
    </row>
    <row r="246" spans="1:9" ht="30" x14ac:dyDescent="0.25">
      <c r="A246" s="136">
        <v>185</v>
      </c>
      <c r="B246" s="84" t="s">
        <v>278</v>
      </c>
      <c r="C246" s="51">
        <v>9150000000</v>
      </c>
      <c r="D246" s="51"/>
      <c r="E246" s="39"/>
      <c r="F246" s="35">
        <f t="shared" ref="F246:G246" si="56">F247+F248+F249</f>
        <v>9538163.7599999998</v>
      </c>
      <c r="G246" s="35">
        <f t="shared" si="56"/>
        <v>9538163.7599999998</v>
      </c>
      <c r="H246" s="35">
        <f t="shared" ref="H246" si="57">H247+H248+H249</f>
        <v>9419104.0499999989</v>
      </c>
      <c r="I246" s="287">
        <f t="shared" si="49"/>
        <v>98.751754394286053</v>
      </c>
    </row>
    <row r="247" spans="1:9" x14ac:dyDescent="0.25">
      <c r="A247" s="329">
        <v>186</v>
      </c>
      <c r="B247" s="330" t="s">
        <v>295</v>
      </c>
      <c r="C247" s="329">
        <v>9150000620</v>
      </c>
      <c r="D247" s="28">
        <v>110</v>
      </c>
      <c r="E247" s="29" t="s">
        <v>93</v>
      </c>
      <c r="F247" s="27">
        <f>'приложение 4'!G417</f>
        <v>9056563.7599999998</v>
      </c>
      <c r="G247" s="27">
        <f>'приложение 4'!H417</f>
        <v>9056563.7599999998</v>
      </c>
      <c r="H247" s="27">
        <f>'приложение 4'!I417</f>
        <v>8967724.0399999991</v>
      </c>
      <c r="I247" s="287">
        <f t="shared" si="49"/>
        <v>99.019057091030731</v>
      </c>
    </row>
    <row r="248" spans="1:9" x14ac:dyDescent="0.25">
      <c r="A248" s="329"/>
      <c r="B248" s="330"/>
      <c r="C248" s="329"/>
      <c r="D248" s="28">
        <v>240</v>
      </c>
      <c r="E248" s="29" t="s">
        <v>93</v>
      </c>
      <c r="F248" s="27">
        <f>'приложение 4'!G419</f>
        <v>470600</v>
      </c>
      <c r="G248" s="27">
        <f>'приложение 4'!H419</f>
        <v>470600</v>
      </c>
      <c r="H248" s="27">
        <f>'приложение 4'!I419</f>
        <v>441380.01</v>
      </c>
      <c r="I248" s="287">
        <f t="shared" si="49"/>
        <v>93.790907352316196</v>
      </c>
    </row>
    <row r="249" spans="1:9" x14ac:dyDescent="0.25">
      <c r="A249" s="329"/>
      <c r="B249" s="330"/>
      <c r="C249" s="329"/>
      <c r="D249" s="28">
        <v>850</v>
      </c>
      <c r="E249" s="29" t="s">
        <v>93</v>
      </c>
      <c r="F249" s="27">
        <f>'приложение 4'!G421</f>
        <v>11000</v>
      </c>
      <c r="G249" s="27">
        <f>'приложение 4'!H421</f>
        <v>11000</v>
      </c>
      <c r="H249" s="27">
        <f>'приложение 4'!I421</f>
        <v>10000</v>
      </c>
      <c r="I249" s="287">
        <f t="shared" si="49"/>
        <v>90.909090909090907</v>
      </c>
    </row>
    <row r="250" spans="1:9" ht="30" x14ac:dyDescent="0.25">
      <c r="A250" s="136">
        <v>187</v>
      </c>
      <c r="B250" s="84" t="s">
        <v>270</v>
      </c>
      <c r="C250" s="51">
        <v>9170000000</v>
      </c>
      <c r="D250" s="51"/>
      <c r="E250" s="39"/>
      <c r="F250" s="35">
        <f>F251+F252+F253+F254+F255</f>
        <v>82604355.399999991</v>
      </c>
      <c r="G250" s="35">
        <f>G251+G252+G253+G254+G255</f>
        <v>82604355.400000006</v>
      </c>
      <c r="H250" s="35">
        <f>H251+H252+H253+H254+H255</f>
        <v>82587724.399999991</v>
      </c>
      <c r="I250" s="287">
        <f t="shared" si="49"/>
        <v>99.979866679039517</v>
      </c>
    </row>
    <row r="251" spans="1:9" x14ac:dyDescent="0.25">
      <c r="A251" s="329">
        <v>188</v>
      </c>
      <c r="B251" s="330" t="s">
        <v>295</v>
      </c>
      <c r="C251" s="339" t="s">
        <v>272</v>
      </c>
      <c r="D251" s="28">
        <v>110</v>
      </c>
      <c r="E251" s="29" t="s">
        <v>93</v>
      </c>
      <c r="F251" s="27">
        <f>'приложение 4'!G400</f>
        <v>78531498.899999991</v>
      </c>
      <c r="G251" s="27">
        <f>'приложение 4'!H400</f>
        <v>78531498.900000006</v>
      </c>
      <c r="H251" s="27">
        <f>'приложение 4'!I400</f>
        <v>78530508.519999996</v>
      </c>
      <c r="I251" s="287">
        <f t="shared" si="49"/>
        <v>99.998738875465406</v>
      </c>
    </row>
    <row r="252" spans="1:9" x14ac:dyDescent="0.25">
      <c r="A252" s="329"/>
      <c r="B252" s="330"/>
      <c r="C252" s="339"/>
      <c r="D252" s="28">
        <v>240</v>
      </c>
      <c r="E252" s="29" t="s">
        <v>93</v>
      </c>
      <c r="F252" s="27">
        <f>'приложение 4'!G402</f>
        <v>2732418</v>
      </c>
      <c r="G252" s="27">
        <f>'приложение 4'!H402</f>
        <v>2732418</v>
      </c>
      <c r="H252" s="27">
        <f>'приложение 4'!I402</f>
        <v>2721776.38</v>
      </c>
      <c r="I252" s="287">
        <f t="shared" si="49"/>
        <v>99.61054201809533</v>
      </c>
    </row>
    <row r="253" spans="1:9" x14ac:dyDescent="0.25">
      <c r="A253" s="329"/>
      <c r="B253" s="330"/>
      <c r="C253" s="339"/>
      <c r="D253" s="28">
        <v>850</v>
      </c>
      <c r="E253" s="29" t="s">
        <v>93</v>
      </c>
      <c r="F253" s="27">
        <f>'приложение 4'!G404</f>
        <v>28603</v>
      </c>
      <c r="G253" s="27">
        <f>'приложение 4'!H404</f>
        <v>28603</v>
      </c>
      <c r="H253" s="27">
        <f>'приложение 4'!I404</f>
        <v>23604</v>
      </c>
      <c r="I253" s="287">
        <f t="shared" si="49"/>
        <v>82.522812292416887</v>
      </c>
    </row>
    <row r="254" spans="1:9" ht="24" customHeight="1" x14ac:dyDescent="0.25">
      <c r="A254" s="329">
        <v>189</v>
      </c>
      <c r="B254" s="376" t="s">
        <v>321</v>
      </c>
      <c r="C254" s="339" t="str">
        <f>'приложение 4'!E406</f>
        <v>9170084560</v>
      </c>
      <c r="D254" s="28">
        <v>110</v>
      </c>
      <c r="E254" s="29" t="s">
        <v>93</v>
      </c>
      <c r="F254" s="27">
        <f>'приложение 4'!G407</f>
        <v>1263829.5</v>
      </c>
      <c r="G254" s="27">
        <f>'приложение 4'!H407</f>
        <v>1263829.5</v>
      </c>
      <c r="H254" s="27">
        <f>'приложение 4'!I407</f>
        <v>1263829.5</v>
      </c>
      <c r="I254" s="287">
        <f t="shared" si="49"/>
        <v>100</v>
      </c>
    </row>
    <row r="255" spans="1:9" ht="29.25" customHeight="1" x14ac:dyDescent="0.25">
      <c r="A255" s="329"/>
      <c r="B255" s="376"/>
      <c r="C255" s="339"/>
      <c r="D255" s="28">
        <v>240</v>
      </c>
      <c r="E255" s="29" t="s">
        <v>93</v>
      </c>
      <c r="F255" s="27">
        <f>'приложение 4'!G409</f>
        <v>48006</v>
      </c>
      <c r="G255" s="27">
        <f>'приложение 4'!H409</f>
        <v>48006</v>
      </c>
      <c r="H255" s="27">
        <f>'приложение 4'!I409</f>
        <v>48006</v>
      </c>
      <c r="I255" s="287">
        <f t="shared" si="49"/>
        <v>100</v>
      </c>
    </row>
    <row r="256" spans="1:9" ht="28.5" x14ac:dyDescent="0.25">
      <c r="A256" s="136">
        <v>190</v>
      </c>
      <c r="B256" s="70" t="s">
        <v>225</v>
      </c>
      <c r="C256" s="51">
        <v>9200000000</v>
      </c>
      <c r="D256" s="28"/>
      <c r="E256" s="29"/>
      <c r="F256" s="44">
        <f t="shared" ref="F256:H256" si="58">F257</f>
        <v>3083343.84</v>
      </c>
      <c r="G256" s="44">
        <f t="shared" si="58"/>
        <v>3083343.84</v>
      </c>
      <c r="H256" s="44">
        <f t="shared" si="58"/>
        <v>3063426.81</v>
      </c>
      <c r="I256" s="287">
        <f t="shared" si="49"/>
        <v>99.354044471407391</v>
      </c>
    </row>
    <row r="257" spans="1:9" ht="30" x14ac:dyDescent="0.25">
      <c r="A257" s="136">
        <v>191</v>
      </c>
      <c r="B257" s="84" t="s">
        <v>259</v>
      </c>
      <c r="C257" s="51">
        <v>9210000000</v>
      </c>
      <c r="D257" s="51"/>
      <c r="E257" s="39"/>
      <c r="F257" s="35">
        <f>F258+F259+F260</f>
        <v>3083343.84</v>
      </c>
      <c r="G257" s="35">
        <f t="shared" ref="G257:H257" si="59">G258+G259+G260</f>
        <v>3083343.84</v>
      </c>
      <c r="H257" s="35">
        <f t="shared" si="59"/>
        <v>3063426.81</v>
      </c>
      <c r="I257" s="287">
        <f t="shared" si="49"/>
        <v>99.354044471407391</v>
      </c>
    </row>
    <row r="258" spans="1:9" ht="60" x14ac:dyDescent="0.25">
      <c r="A258" s="136">
        <v>192</v>
      </c>
      <c r="B258" s="59" t="s">
        <v>393</v>
      </c>
      <c r="C258" s="28">
        <v>9210075140</v>
      </c>
      <c r="D258" s="28">
        <v>530</v>
      </c>
      <c r="E258" s="29" t="s">
        <v>93</v>
      </c>
      <c r="F258" s="27">
        <f>'приложение 4'!G33</f>
        <v>104800</v>
      </c>
      <c r="G258" s="27">
        <f>'приложение 4'!H33</f>
        <v>104800</v>
      </c>
      <c r="H258" s="27">
        <f>'приложение 4'!I33</f>
        <v>84882.97</v>
      </c>
      <c r="I258" s="287">
        <f t="shared" si="49"/>
        <v>80.995200381679382</v>
      </c>
    </row>
    <row r="259" spans="1:9" ht="45" x14ac:dyDescent="0.25">
      <c r="A259" s="136">
        <v>193</v>
      </c>
      <c r="B259" s="48" t="s">
        <v>365</v>
      </c>
      <c r="C259" s="28">
        <v>9210051180</v>
      </c>
      <c r="D259" s="28">
        <v>530</v>
      </c>
      <c r="E259" s="29" t="s">
        <v>96</v>
      </c>
      <c r="F259" s="27">
        <f>'приложение 4'!G40</f>
        <v>2959800</v>
      </c>
      <c r="G259" s="27">
        <f>'приложение 4'!H40</f>
        <v>2959800</v>
      </c>
      <c r="H259" s="27">
        <f>'приложение 4'!I40</f>
        <v>2959800</v>
      </c>
      <c r="I259" s="287">
        <f t="shared" si="49"/>
        <v>100</v>
      </c>
    </row>
    <row r="260" spans="1:9" x14ac:dyDescent="0.25">
      <c r="A260" s="136">
        <v>194</v>
      </c>
      <c r="B260" s="82" t="s">
        <v>402</v>
      </c>
      <c r="C260" s="79" t="str">
        <f>'приложение 4'!E100</f>
        <v>9210000910</v>
      </c>
      <c r="D260" s="77">
        <v>730</v>
      </c>
      <c r="E260" s="80" t="s">
        <v>401</v>
      </c>
      <c r="F260" s="27">
        <f>'приложение 4'!G100</f>
        <v>18743.839999999997</v>
      </c>
      <c r="G260" s="27">
        <f>'приложение 4'!H100</f>
        <v>18743.84</v>
      </c>
      <c r="H260" s="27">
        <f>'приложение 4'!I100</f>
        <v>18743.84</v>
      </c>
      <c r="I260" s="287">
        <f t="shared" si="49"/>
        <v>100</v>
      </c>
    </row>
    <row r="261" spans="1:9" x14ac:dyDescent="0.25">
      <c r="A261" s="136">
        <v>195</v>
      </c>
      <c r="B261" s="68" t="s">
        <v>148</v>
      </c>
      <c r="C261" s="41"/>
      <c r="D261" s="41"/>
      <c r="E261" s="42"/>
      <c r="F261" s="44">
        <f>F16+F43+F94+F104+F115+F135+F143+F156+F164+F177+F10+F202+F210+F217+F242+F256+F195</f>
        <v>1543173008.1900001</v>
      </c>
      <c r="G261" s="44">
        <f>G16+G43+G94+G104+G115+G135+G143+G156+G164+G177+G10+G202+G210+G217+G242+G256+G195</f>
        <v>1539521650.99</v>
      </c>
      <c r="H261" s="44">
        <f>H16+H43+H94+H104+H115+H135+H143+H156+H164+H177+H10+H202+H210+H217+H242+H256+H195</f>
        <v>1491696033.7299991</v>
      </c>
      <c r="I261" s="287">
        <f t="shared" si="49"/>
        <v>96.893475500702024</v>
      </c>
    </row>
    <row r="262" spans="1:9" x14ac:dyDescent="0.25">
      <c r="A262" s="71"/>
      <c r="B262" s="72"/>
      <c r="C262" s="73"/>
      <c r="D262" s="73"/>
      <c r="E262" s="73"/>
      <c r="F262" s="73"/>
      <c r="G262" s="73"/>
    </row>
    <row r="263" spans="1:9" x14ac:dyDescent="0.25">
      <c r="A263" s="71"/>
      <c r="B263" s="36"/>
      <c r="C263" s="33"/>
      <c r="D263" s="33"/>
      <c r="E263" s="33"/>
      <c r="F263" s="233">
        <f>'приложение 4'!G710-'приложение 5'!F261</f>
        <v>0</v>
      </c>
      <c r="G263" s="233">
        <f>'приложение 4'!H710-'приложение 5'!G261</f>
        <v>0</v>
      </c>
      <c r="H263" s="233">
        <f>'приложение 4'!I710-'приложение 5'!H261</f>
        <v>0</v>
      </c>
    </row>
    <row r="264" spans="1:9" x14ac:dyDescent="0.25">
      <c r="A264" s="71"/>
      <c r="B264" s="36"/>
      <c r="C264" s="33"/>
      <c r="D264" s="33"/>
      <c r="E264" s="33"/>
      <c r="F264" s="33"/>
      <c r="G264" s="33"/>
    </row>
    <row r="265" spans="1:9" x14ac:dyDescent="0.25">
      <c r="A265" s="71"/>
      <c r="B265" s="36"/>
      <c r="C265" s="33"/>
      <c r="D265" s="33"/>
      <c r="E265" s="33"/>
      <c r="F265" s="33"/>
      <c r="G265" s="33"/>
    </row>
    <row r="266" spans="1:9" x14ac:dyDescent="0.25">
      <c r="A266" s="71"/>
      <c r="B266" s="36"/>
      <c r="C266" s="33"/>
      <c r="D266" s="33"/>
      <c r="E266" s="33"/>
      <c r="F266" s="33"/>
      <c r="G266" s="33"/>
    </row>
    <row r="267" spans="1:9" x14ac:dyDescent="0.25">
      <c r="A267" s="71"/>
      <c r="B267" s="36"/>
      <c r="C267" s="33"/>
      <c r="D267" s="33"/>
      <c r="E267" s="33"/>
      <c r="F267" s="33"/>
      <c r="G267" s="33"/>
    </row>
    <row r="268" spans="1:9" x14ac:dyDescent="0.25">
      <c r="A268" s="71"/>
      <c r="B268" s="36"/>
      <c r="C268" s="33"/>
      <c r="D268" s="33"/>
      <c r="E268" s="33"/>
      <c r="F268" s="33"/>
      <c r="G268" s="33"/>
    </row>
    <row r="269" spans="1:9" x14ac:dyDescent="0.25">
      <c r="A269" s="71"/>
      <c r="B269" s="36"/>
      <c r="C269" s="33"/>
      <c r="D269" s="33"/>
      <c r="E269" s="33"/>
      <c r="F269" s="33"/>
      <c r="G269" s="33"/>
    </row>
    <row r="270" spans="1:9" x14ac:dyDescent="0.25">
      <c r="A270" s="71"/>
      <c r="B270" s="36"/>
      <c r="C270" s="33"/>
      <c r="D270" s="33"/>
      <c r="E270" s="33"/>
      <c r="F270" s="33"/>
      <c r="G270" s="33"/>
    </row>
    <row r="271" spans="1:9" x14ac:dyDescent="0.25">
      <c r="A271" s="71"/>
      <c r="B271" s="36"/>
      <c r="C271" s="33"/>
      <c r="D271" s="33"/>
      <c r="E271" s="33"/>
      <c r="F271" s="33"/>
      <c r="G271" s="33"/>
    </row>
    <row r="272" spans="1:9" x14ac:dyDescent="0.25">
      <c r="A272" s="71"/>
      <c r="B272" s="36"/>
      <c r="C272" s="33"/>
      <c r="D272" s="33"/>
      <c r="E272" s="33"/>
      <c r="F272" s="33"/>
      <c r="G272" s="33"/>
    </row>
    <row r="273" spans="1:7" x14ac:dyDescent="0.25">
      <c r="A273" s="71"/>
      <c r="B273" s="36"/>
      <c r="C273" s="33"/>
      <c r="D273" s="33"/>
      <c r="E273" s="33"/>
      <c r="F273" s="33"/>
      <c r="G273" s="33"/>
    </row>
    <row r="274" spans="1:7" x14ac:dyDescent="0.25">
      <c r="A274" s="71"/>
      <c r="B274" s="36"/>
      <c r="C274" s="33"/>
      <c r="D274" s="33"/>
      <c r="E274" s="33"/>
      <c r="F274" s="33"/>
      <c r="G274" s="33"/>
    </row>
    <row r="275" spans="1:7" x14ac:dyDescent="0.25">
      <c r="A275" s="71"/>
      <c r="B275" s="36"/>
      <c r="C275" s="33"/>
      <c r="D275" s="33"/>
      <c r="E275" s="33"/>
      <c r="F275" s="33"/>
      <c r="G275" s="33"/>
    </row>
    <row r="276" spans="1:7" x14ac:dyDescent="0.25">
      <c r="A276" s="71"/>
      <c r="B276" s="36"/>
      <c r="C276" s="33"/>
      <c r="D276" s="33"/>
      <c r="E276" s="33"/>
      <c r="F276" s="33"/>
      <c r="G276" s="33"/>
    </row>
    <row r="277" spans="1:7" x14ac:dyDescent="0.25">
      <c r="A277" s="71"/>
      <c r="B277" s="36"/>
      <c r="C277" s="33"/>
      <c r="D277" s="33"/>
      <c r="E277" s="33"/>
      <c r="F277" s="33"/>
      <c r="G277" s="33"/>
    </row>
    <row r="278" spans="1:7" x14ac:dyDescent="0.25">
      <c r="A278" s="71"/>
      <c r="B278" s="36"/>
      <c r="C278" s="33"/>
      <c r="D278" s="33"/>
      <c r="E278" s="33"/>
      <c r="F278" s="33"/>
      <c r="G278" s="33"/>
    </row>
    <row r="279" spans="1:7" x14ac:dyDescent="0.25">
      <c r="A279" s="71"/>
      <c r="B279" s="36"/>
      <c r="C279" s="33"/>
      <c r="D279" s="33"/>
      <c r="E279" s="33"/>
      <c r="F279" s="33"/>
      <c r="G279" s="33"/>
    </row>
    <row r="280" spans="1:7" x14ac:dyDescent="0.25">
      <c r="A280" s="71"/>
      <c r="B280" s="36"/>
      <c r="C280" s="33"/>
      <c r="D280" s="33"/>
      <c r="E280" s="33"/>
      <c r="F280" s="33"/>
      <c r="G280" s="33"/>
    </row>
    <row r="281" spans="1:7" x14ac:dyDescent="0.25">
      <c r="A281" s="71"/>
      <c r="B281" s="36"/>
      <c r="C281" s="33"/>
      <c r="D281" s="33"/>
      <c r="E281" s="33"/>
      <c r="F281" s="33"/>
      <c r="G281" s="33"/>
    </row>
    <row r="282" spans="1:7" x14ac:dyDescent="0.25">
      <c r="A282" s="71"/>
      <c r="B282" s="36"/>
      <c r="C282" s="33"/>
      <c r="D282" s="33"/>
      <c r="E282" s="33"/>
      <c r="F282" s="33"/>
      <c r="G282" s="33"/>
    </row>
    <row r="283" spans="1:7" x14ac:dyDescent="0.25">
      <c r="A283" s="71"/>
      <c r="B283" s="36"/>
      <c r="C283" s="33"/>
      <c r="D283" s="33"/>
      <c r="E283" s="33"/>
      <c r="F283" s="33"/>
      <c r="G283" s="33"/>
    </row>
    <row r="284" spans="1:7" x14ac:dyDescent="0.25">
      <c r="A284" s="71"/>
      <c r="B284" s="36"/>
      <c r="C284" s="33"/>
      <c r="D284" s="33"/>
      <c r="E284" s="33"/>
      <c r="F284" s="33"/>
      <c r="G284" s="33"/>
    </row>
    <row r="285" spans="1:7" x14ac:dyDescent="0.25">
      <c r="A285" s="71"/>
      <c r="B285" s="36"/>
      <c r="C285" s="33"/>
      <c r="D285" s="33"/>
      <c r="E285" s="33"/>
      <c r="F285" s="33"/>
      <c r="G285" s="33"/>
    </row>
    <row r="286" spans="1:7" x14ac:dyDescent="0.25">
      <c r="A286" s="71"/>
      <c r="B286" s="36"/>
      <c r="C286" s="33"/>
      <c r="D286" s="33"/>
      <c r="E286" s="33"/>
      <c r="F286" s="33"/>
      <c r="G286" s="33"/>
    </row>
    <row r="287" spans="1:7" x14ac:dyDescent="0.25">
      <c r="A287" s="71"/>
      <c r="B287" s="36"/>
      <c r="C287" s="33"/>
      <c r="D287" s="33"/>
      <c r="E287" s="33"/>
      <c r="F287" s="33"/>
      <c r="G287" s="33"/>
    </row>
    <row r="288" spans="1:7" x14ac:dyDescent="0.25">
      <c r="A288" s="71"/>
      <c r="B288" s="36"/>
      <c r="C288" s="33"/>
      <c r="D288" s="33"/>
      <c r="E288" s="33"/>
      <c r="F288" s="33"/>
      <c r="G288" s="33"/>
    </row>
    <row r="289" spans="1:7" x14ac:dyDescent="0.25">
      <c r="A289" s="71"/>
      <c r="B289" s="36"/>
      <c r="C289" s="33"/>
      <c r="D289" s="33"/>
      <c r="E289" s="33"/>
      <c r="F289" s="33"/>
      <c r="G289" s="33"/>
    </row>
    <row r="290" spans="1:7" x14ac:dyDescent="0.25">
      <c r="A290" s="71"/>
      <c r="B290" s="36"/>
      <c r="C290" s="33"/>
      <c r="D290" s="33"/>
      <c r="E290" s="33"/>
      <c r="F290" s="33"/>
      <c r="G290" s="33"/>
    </row>
    <row r="291" spans="1:7" x14ac:dyDescent="0.25">
      <c r="A291" s="71"/>
      <c r="B291" s="36"/>
      <c r="C291" s="33"/>
      <c r="D291" s="33"/>
      <c r="E291" s="33"/>
      <c r="F291" s="33"/>
      <c r="G291" s="33"/>
    </row>
    <row r="292" spans="1:7" x14ac:dyDescent="0.25">
      <c r="A292" s="71"/>
      <c r="B292" s="36"/>
      <c r="C292" s="33"/>
      <c r="D292" s="33"/>
      <c r="E292" s="33"/>
      <c r="F292" s="33"/>
      <c r="G292" s="33"/>
    </row>
    <row r="293" spans="1:7" x14ac:dyDescent="0.25">
      <c r="A293" s="71"/>
      <c r="B293" s="36"/>
      <c r="C293" s="33"/>
      <c r="D293" s="33"/>
      <c r="E293" s="33"/>
      <c r="F293" s="33"/>
      <c r="G293" s="33"/>
    </row>
    <row r="294" spans="1:7" x14ac:dyDescent="0.25">
      <c r="A294" s="71"/>
      <c r="B294" s="36"/>
      <c r="C294" s="33"/>
      <c r="D294" s="33"/>
      <c r="E294" s="33"/>
      <c r="F294" s="33"/>
      <c r="G294" s="33"/>
    </row>
    <row r="295" spans="1:7" x14ac:dyDescent="0.25">
      <c r="A295" s="71"/>
      <c r="B295" s="36"/>
      <c r="C295" s="33"/>
      <c r="D295" s="33"/>
      <c r="E295" s="33"/>
      <c r="F295" s="33"/>
      <c r="G295" s="33"/>
    </row>
    <row r="296" spans="1:7" x14ac:dyDescent="0.25">
      <c r="A296" s="71"/>
      <c r="B296" s="36"/>
      <c r="C296" s="33"/>
      <c r="D296" s="33"/>
      <c r="E296" s="33"/>
      <c r="F296" s="33"/>
      <c r="G296" s="33"/>
    </row>
    <row r="297" spans="1:7" x14ac:dyDescent="0.25">
      <c r="A297" s="71"/>
      <c r="B297" s="36"/>
      <c r="C297" s="33"/>
      <c r="D297" s="33"/>
      <c r="E297" s="33"/>
      <c r="F297" s="33"/>
      <c r="G297" s="33"/>
    </row>
    <row r="298" spans="1:7" x14ac:dyDescent="0.25">
      <c r="A298" s="71"/>
      <c r="B298" s="36"/>
      <c r="C298" s="33"/>
      <c r="D298" s="33"/>
      <c r="E298" s="33"/>
      <c r="F298" s="33"/>
      <c r="G298" s="33"/>
    </row>
    <row r="299" spans="1:7" x14ac:dyDescent="0.25">
      <c r="A299" s="71"/>
      <c r="B299" s="36"/>
      <c r="C299" s="33"/>
      <c r="D299" s="33"/>
      <c r="E299" s="33"/>
      <c r="F299" s="33"/>
      <c r="G299" s="33"/>
    </row>
    <row r="300" spans="1:7" x14ac:dyDescent="0.25">
      <c r="A300" s="71"/>
      <c r="B300" s="36"/>
      <c r="C300" s="33"/>
      <c r="D300" s="33"/>
      <c r="E300" s="33"/>
      <c r="F300" s="33"/>
      <c r="G300" s="33"/>
    </row>
    <row r="301" spans="1:7" x14ac:dyDescent="0.25">
      <c r="A301" s="71"/>
      <c r="B301" s="36"/>
      <c r="C301" s="33"/>
      <c r="D301" s="33"/>
      <c r="E301" s="33"/>
      <c r="F301" s="33"/>
      <c r="G301" s="33"/>
    </row>
    <row r="302" spans="1:7" x14ac:dyDescent="0.25">
      <c r="A302" s="71"/>
      <c r="B302" s="36"/>
      <c r="C302" s="33"/>
      <c r="D302" s="33"/>
      <c r="E302" s="33"/>
      <c r="F302" s="33"/>
      <c r="G302" s="33"/>
    </row>
    <row r="303" spans="1:7" x14ac:dyDescent="0.25">
      <c r="A303" s="71"/>
      <c r="B303" s="36"/>
      <c r="C303" s="33"/>
      <c r="D303" s="33"/>
      <c r="E303" s="33"/>
      <c r="F303" s="33"/>
      <c r="G303" s="33"/>
    </row>
    <row r="304" spans="1:7" x14ac:dyDescent="0.25">
      <c r="A304" s="71"/>
      <c r="B304" s="36"/>
      <c r="C304" s="33"/>
      <c r="D304" s="33"/>
      <c r="E304" s="33"/>
      <c r="F304" s="33"/>
      <c r="G304" s="33"/>
    </row>
    <row r="305" spans="1:7" x14ac:dyDescent="0.25">
      <c r="A305" s="71"/>
      <c r="B305" s="36"/>
      <c r="C305" s="33"/>
      <c r="D305" s="33"/>
      <c r="E305" s="33"/>
      <c r="F305" s="33"/>
      <c r="G305" s="33"/>
    </row>
    <row r="306" spans="1:7" x14ac:dyDescent="0.25">
      <c r="A306" s="71"/>
      <c r="B306" s="36"/>
      <c r="C306" s="33"/>
      <c r="D306" s="33"/>
      <c r="E306" s="33"/>
      <c r="F306" s="33"/>
      <c r="G306" s="33"/>
    </row>
    <row r="307" spans="1:7" x14ac:dyDescent="0.25">
      <c r="A307" s="71"/>
      <c r="B307" s="36"/>
      <c r="C307" s="33"/>
      <c r="D307" s="33"/>
      <c r="E307" s="33"/>
      <c r="F307" s="33"/>
      <c r="G307" s="33"/>
    </row>
    <row r="308" spans="1:7" x14ac:dyDescent="0.25">
      <c r="A308" s="71"/>
      <c r="B308" s="36"/>
      <c r="C308" s="33"/>
      <c r="D308" s="33"/>
      <c r="E308" s="33"/>
      <c r="F308" s="33"/>
      <c r="G308" s="33"/>
    </row>
    <row r="309" spans="1:7" x14ac:dyDescent="0.25">
      <c r="A309" s="71"/>
      <c r="B309" s="36"/>
      <c r="C309" s="33"/>
      <c r="D309" s="33"/>
      <c r="E309" s="33"/>
      <c r="F309" s="33"/>
      <c r="G309" s="33"/>
    </row>
    <row r="310" spans="1:7" x14ac:dyDescent="0.25">
      <c r="A310" s="71"/>
      <c r="B310" s="36"/>
      <c r="C310" s="33"/>
      <c r="D310" s="33"/>
      <c r="E310" s="33"/>
      <c r="F310" s="33"/>
      <c r="G310" s="33"/>
    </row>
    <row r="311" spans="1:7" x14ac:dyDescent="0.25">
      <c r="A311" s="71"/>
      <c r="B311" s="36"/>
      <c r="C311" s="33"/>
      <c r="D311" s="33"/>
      <c r="E311" s="33"/>
      <c r="F311" s="33"/>
      <c r="G311" s="33"/>
    </row>
    <row r="312" spans="1:7" x14ac:dyDescent="0.25">
      <c r="A312" s="71"/>
      <c r="B312" s="36"/>
      <c r="C312" s="33"/>
      <c r="D312" s="33"/>
      <c r="E312" s="33"/>
      <c r="F312" s="33"/>
      <c r="G312" s="33"/>
    </row>
    <row r="313" spans="1:7" x14ac:dyDescent="0.25">
      <c r="A313" s="71"/>
      <c r="B313" s="36"/>
      <c r="C313" s="33"/>
      <c r="D313" s="33"/>
      <c r="E313" s="33"/>
      <c r="F313" s="33"/>
      <c r="G313" s="33"/>
    </row>
    <row r="314" spans="1:7" x14ac:dyDescent="0.25">
      <c r="A314" s="71"/>
      <c r="B314" s="36"/>
      <c r="C314" s="33"/>
      <c r="D314" s="33"/>
      <c r="E314" s="33"/>
      <c r="F314" s="33"/>
      <c r="G314" s="33"/>
    </row>
    <row r="315" spans="1:7" x14ac:dyDescent="0.25">
      <c r="A315" s="71"/>
      <c r="B315" s="36"/>
      <c r="C315" s="33"/>
      <c r="D315" s="33"/>
      <c r="E315" s="33"/>
      <c r="F315" s="33"/>
      <c r="G315" s="33"/>
    </row>
    <row r="316" spans="1:7" x14ac:dyDescent="0.25">
      <c r="A316" s="71"/>
      <c r="B316" s="36"/>
      <c r="C316" s="33"/>
      <c r="D316" s="33"/>
      <c r="E316" s="33"/>
      <c r="F316" s="33"/>
      <c r="G316" s="33"/>
    </row>
    <row r="317" spans="1:7" x14ac:dyDescent="0.25">
      <c r="A317" s="71"/>
      <c r="B317" s="36"/>
      <c r="C317" s="33"/>
      <c r="D317" s="33"/>
      <c r="E317" s="33"/>
      <c r="F317" s="33"/>
      <c r="G317" s="33"/>
    </row>
    <row r="318" spans="1:7" x14ac:dyDescent="0.25">
      <c r="A318" s="71"/>
      <c r="B318" s="36"/>
      <c r="C318" s="33"/>
      <c r="D318" s="33"/>
      <c r="E318" s="33"/>
      <c r="F318" s="33"/>
      <c r="G318" s="33"/>
    </row>
    <row r="319" spans="1:7" x14ac:dyDescent="0.25">
      <c r="A319" s="71"/>
      <c r="B319" s="36"/>
      <c r="C319" s="33"/>
      <c r="D319" s="33"/>
      <c r="E319" s="33"/>
      <c r="F319" s="33"/>
      <c r="G319" s="33"/>
    </row>
    <row r="320" spans="1:7" x14ac:dyDescent="0.25">
      <c r="A320" s="71"/>
      <c r="B320" s="36"/>
      <c r="C320" s="33"/>
      <c r="D320" s="33"/>
      <c r="E320" s="33"/>
      <c r="F320" s="33"/>
      <c r="G320" s="33"/>
    </row>
    <row r="321" spans="1:7" x14ac:dyDescent="0.25">
      <c r="A321" s="71"/>
      <c r="B321" s="36"/>
      <c r="C321" s="33"/>
      <c r="D321" s="33"/>
      <c r="E321" s="33"/>
      <c r="F321" s="33"/>
      <c r="G321" s="33"/>
    </row>
    <row r="322" spans="1:7" x14ac:dyDescent="0.25">
      <c r="A322" s="71"/>
      <c r="B322" s="36"/>
      <c r="C322" s="33"/>
      <c r="D322" s="33"/>
      <c r="E322" s="33"/>
      <c r="F322" s="33"/>
      <c r="G322" s="33"/>
    </row>
    <row r="323" spans="1:7" x14ac:dyDescent="0.25">
      <c r="A323" s="71"/>
      <c r="B323" s="36"/>
      <c r="C323" s="33"/>
      <c r="D323" s="33"/>
      <c r="E323" s="33"/>
      <c r="F323" s="33"/>
      <c r="G323" s="33"/>
    </row>
    <row r="324" spans="1:7" x14ac:dyDescent="0.25">
      <c r="A324" s="71"/>
      <c r="B324" s="36"/>
      <c r="C324" s="33"/>
      <c r="D324" s="33"/>
      <c r="E324" s="33"/>
      <c r="F324" s="33"/>
      <c r="G324" s="33"/>
    </row>
    <row r="325" spans="1:7" x14ac:dyDescent="0.25">
      <c r="A325" s="71"/>
      <c r="B325" s="36"/>
      <c r="C325" s="33"/>
      <c r="D325" s="33"/>
      <c r="E325" s="33"/>
      <c r="F325" s="33"/>
      <c r="G325" s="33"/>
    </row>
    <row r="326" spans="1:7" x14ac:dyDescent="0.25">
      <c r="A326" s="71"/>
      <c r="B326" s="36"/>
      <c r="C326" s="33"/>
      <c r="D326" s="33"/>
      <c r="E326" s="33"/>
      <c r="F326" s="33"/>
      <c r="G326" s="33"/>
    </row>
    <row r="327" spans="1:7" x14ac:dyDescent="0.25">
      <c r="A327" s="71"/>
      <c r="B327" s="36"/>
      <c r="C327" s="33"/>
      <c r="D327" s="33"/>
      <c r="E327" s="33"/>
      <c r="F327" s="33"/>
      <c r="G327" s="33"/>
    </row>
    <row r="328" spans="1:7" x14ac:dyDescent="0.25">
      <c r="A328" s="71"/>
      <c r="B328" s="36"/>
      <c r="C328" s="33"/>
      <c r="D328" s="33"/>
      <c r="E328" s="33"/>
      <c r="F328" s="33"/>
      <c r="G328" s="33"/>
    </row>
    <row r="329" spans="1:7" x14ac:dyDescent="0.25">
      <c r="A329" s="71"/>
      <c r="B329" s="36"/>
      <c r="C329" s="33"/>
      <c r="D329" s="33"/>
      <c r="E329" s="33"/>
      <c r="F329" s="33"/>
      <c r="G329" s="33"/>
    </row>
    <row r="330" spans="1:7" x14ac:dyDescent="0.25">
      <c r="A330" s="71"/>
      <c r="B330" s="36"/>
      <c r="C330" s="33"/>
      <c r="D330" s="33"/>
      <c r="E330" s="33"/>
      <c r="F330" s="33"/>
      <c r="G330" s="33"/>
    </row>
    <row r="331" spans="1:7" x14ac:dyDescent="0.25">
      <c r="A331" s="71"/>
      <c r="B331" s="36"/>
      <c r="C331" s="33"/>
      <c r="D331" s="33"/>
      <c r="E331" s="33"/>
      <c r="F331" s="33"/>
      <c r="G331" s="33"/>
    </row>
    <row r="332" spans="1:7" x14ac:dyDescent="0.25">
      <c r="A332" s="71"/>
      <c r="B332" s="36"/>
      <c r="C332" s="33"/>
      <c r="D332" s="33"/>
      <c r="E332" s="33"/>
      <c r="F332" s="33"/>
      <c r="G332" s="33"/>
    </row>
    <row r="333" spans="1:7" x14ac:dyDescent="0.25">
      <c r="A333" s="71"/>
      <c r="B333" s="36"/>
      <c r="C333" s="33"/>
      <c r="D333" s="33"/>
      <c r="E333" s="33"/>
      <c r="F333" s="33"/>
      <c r="G333" s="33"/>
    </row>
    <row r="334" spans="1:7" x14ac:dyDescent="0.25">
      <c r="A334" s="71"/>
      <c r="B334" s="36"/>
      <c r="C334" s="33"/>
      <c r="D334" s="33"/>
      <c r="E334" s="33"/>
      <c r="F334" s="33"/>
      <c r="G334" s="33"/>
    </row>
    <row r="335" spans="1:7" x14ac:dyDescent="0.25">
      <c r="A335" s="71"/>
      <c r="B335" s="36"/>
      <c r="C335" s="33"/>
      <c r="D335" s="33"/>
      <c r="E335" s="33"/>
      <c r="F335" s="33"/>
      <c r="G335" s="33"/>
    </row>
    <row r="336" spans="1:7" x14ac:dyDescent="0.25">
      <c r="A336" s="71"/>
      <c r="B336" s="36"/>
      <c r="C336" s="33"/>
      <c r="D336" s="33"/>
      <c r="E336" s="33"/>
      <c r="F336" s="33"/>
      <c r="G336" s="33"/>
    </row>
    <row r="337" spans="1:7" x14ac:dyDescent="0.25">
      <c r="A337" s="71"/>
      <c r="B337" s="36"/>
      <c r="C337" s="33"/>
      <c r="D337" s="33"/>
      <c r="E337" s="33"/>
      <c r="F337" s="33"/>
      <c r="G337" s="33"/>
    </row>
    <row r="338" spans="1:7" x14ac:dyDescent="0.25">
      <c r="A338" s="71"/>
      <c r="B338" s="36"/>
      <c r="C338" s="33"/>
      <c r="D338" s="33"/>
      <c r="E338" s="33"/>
      <c r="F338" s="33"/>
      <c r="G338" s="33"/>
    </row>
    <row r="339" spans="1:7" x14ac:dyDescent="0.25">
      <c r="A339" s="71"/>
      <c r="B339" s="36"/>
      <c r="C339" s="33"/>
      <c r="D339" s="33"/>
      <c r="E339" s="33"/>
      <c r="F339" s="33"/>
      <c r="G339" s="33"/>
    </row>
    <row r="340" spans="1:7" x14ac:dyDescent="0.25">
      <c r="A340" s="71"/>
      <c r="B340" s="36"/>
      <c r="C340" s="33"/>
      <c r="D340" s="33"/>
      <c r="E340" s="33"/>
      <c r="F340" s="33"/>
      <c r="G340" s="33"/>
    </row>
    <row r="341" spans="1:7" x14ac:dyDescent="0.25">
      <c r="A341" s="71"/>
      <c r="B341" s="36"/>
      <c r="C341" s="33"/>
      <c r="D341" s="33"/>
      <c r="E341" s="33"/>
      <c r="F341" s="33"/>
      <c r="G341" s="33"/>
    </row>
    <row r="342" spans="1:7" x14ac:dyDescent="0.25">
      <c r="A342" s="71"/>
      <c r="B342" s="36"/>
      <c r="C342" s="33"/>
      <c r="D342" s="33"/>
      <c r="E342" s="33"/>
      <c r="F342" s="33"/>
      <c r="G342" s="33"/>
    </row>
    <row r="343" spans="1:7" x14ac:dyDescent="0.25">
      <c r="A343" s="71"/>
      <c r="B343" s="36"/>
      <c r="C343" s="33"/>
      <c r="D343" s="33"/>
      <c r="E343" s="33"/>
      <c r="F343" s="33"/>
      <c r="G343" s="33"/>
    </row>
    <row r="344" spans="1:7" x14ac:dyDescent="0.25">
      <c r="A344" s="71"/>
      <c r="B344" s="36"/>
      <c r="C344" s="33"/>
      <c r="D344" s="33"/>
      <c r="E344" s="33"/>
      <c r="F344" s="33"/>
      <c r="G344" s="33"/>
    </row>
    <row r="345" spans="1:7" x14ac:dyDescent="0.25">
      <c r="A345" s="71"/>
      <c r="B345" s="36"/>
      <c r="C345" s="33"/>
      <c r="D345" s="33"/>
      <c r="E345" s="33"/>
      <c r="F345" s="33"/>
      <c r="G345" s="33"/>
    </row>
    <row r="346" spans="1:7" x14ac:dyDescent="0.25">
      <c r="A346" s="71"/>
      <c r="B346" s="36"/>
      <c r="C346" s="33"/>
      <c r="D346" s="33"/>
      <c r="E346" s="33"/>
      <c r="F346" s="33"/>
      <c r="G346" s="33"/>
    </row>
    <row r="347" spans="1:7" x14ac:dyDescent="0.25">
      <c r="A347" s="71"/>
      <c r="B347" s="36"/>
      <c r="C347" s="33"/>
      <c r="D347" s="33"/>
      <c r="E347" s="33"/>
      <c r="F347" s="33"/>
      <c r="G347" s="33"/>
    </row>
    <row r="348" spans="1:7" x14ac:dyDescent="0.25">
      <c r="A348" s="71"/>
      <c r="B348" s="36"/>
      <c r="C348" s="33"/>
      <c r="D348" s="33"/>
      <c r="E348" s="33"/>
      <c r="F348" s="33"/>
      <c r="G348" s="33"/>
    </row>
    <row r="349" spans="1:7" x14ac:dyDescent="0.25">
      <c r="A349" s="71"/>
      <c r="B349" s="36"/>
      <c r="C349" s="33"/>
      <c r="D349" s="33"/>
      <c r="E349" s="33"/>
      <c r="F349" s="33"/>
      <c r="G349" s="33"/>
    </row>
    <row r="350" spans="1:7" x14ac:dyDescent="0.25">
      <c r="A350" s="71"/>
      <c r="B350" s="36"/>
      <c r="C350" s="33"/>
      <c r="D350" s="33"/>
      <c r="E350" s="33"/>
      <c r="F350" s="33"/>
      <c r="G350" s="33"/>
    </row>
    <row r="351" spans="1:7" x14ac:dyDescent="0.25">
      <c r="A351" s="71"/>
      <c r="B351" s="36"/>
      <c r="C351" s="33"/>
      <c r="D351" s="33"/>
      <c r="E351" s="33"/>
      <c r="F351" s="33"/>
      <c r="G351" s="33"/>
    </row>
    <row r="352" spans="1:7" x14ac:dyDescent="0.25">
      <c r="A352" s="71"/>
      <c r="B352" s="36"/>
      <c r="C352" s="33"/>
      <c r="D352" s="33"/>
      <c r="E352" s="33"/>
      <c r="F352" s="33"/>
      <c r="G352" s="33"/>
    </row>
    <row r="353" spans="1:7" x14ac:dyDescent="0.25">
      <c r="A353" s="71"/>
      <c r="B353" s="36"/>
      <c r="C353" s="33"/>
      <c r="D353" s="33"/>
      <c r="E353" s="33"/>
      <c r="F353" s="33"/>
      <c r="G353" s="33"/>
    </row>
    <row r="354" spans="1:7" x14ac:dyDescent="0.25">
      <c r="A354" s="71"/>
      <c r="B354" s="36"/>
      <c r="C354" s="33"/>
      <c r="D354" s="33"/>
      <c r="E354" s="33"/>
      <c r="F354" s="33"/>
      <c r="G354" s="33"/>
    </row>
    <row r="355" spans="1:7" x14ac:dyDescent="0.25">
      <c r="A355" s="71"/>
      <c r="B355" s="36"/>
      <c r="C355" s="33"/>
      <c r="D355" s="33"/>
      <c r="E355" s="33"/>
      <c r="F355" s="33"/>
      <c r="G355" s="33"/>
    </row>
    <row r="356" spans="1:7" x14ac:dyDescent="0.25">
      <c r="A356" s="71"/>
      <c r="B356" s="36"/>
      <c r="C356" s="33"/>
      <c r="D356" s="33"/>
      <c r="E356" s="33"/>
      <c r="F356" s="33"/>
      <c r="G356" s="33"/>
    </row>
    <row r="357" spans="1:7" x14ac:dyDescent="0.25">
      <c r="A357" s="71"/>
      <c r="B357" s="36"/>
      <c r="C357" s="33"/>
      <c r="D357" s="33"/>
      <c r="E357" s="33"/>
      <c r="F357" s="33"/>
      <c r="G357" s="33"/>
    </row>
    <row r="358" spans="1:7" x14ac:dyDescent="0.25">
      <c r="A358" s="71"/>
      <c r="B358" s="36"/>
      <c r="C358" s="33"/>
      <c r="D358" s="33"/>
      <c r="E358" s="33"/>
      <c r="F358" s="33"/>
      <c r="G358" s="33"/>
    </row>
    <row r="359" spans="1:7" x14ac:dyDescent="0.25">
      <c r="A359" s="71"/>
      <c r="B359" s="36"/>
      <c r="C359" s="33"/>
      <c r="D359" s="33"/>
      <c r="E359" s="33"/>
      <c r="F359" s="33"/>
      <c r="G359" s="33"/>
    </row>
    <row r="360" spans="1:7" x14ac:dyDescent="0.25">
      <c r="A360" s="71"/>
      <c r="B360" s="36"/>
      <c r="C360" s="33"/>
      <c r="D360" s="33"/>
      <c r="E360" s="33"/>
      <c r="F360" s="33"/>
      <c r="G360" s="33"/>
    </row>
    <row r="361" spans="1:7" x14ac:dyDescent="0.25">
      <c r="A361" s="71"/>
      <c r="B361" s="36"/>
      <c r="C361" s="33"/>
      <c r="D361" s="33"/>
      <c r="E361" s="33"/>
      <c r="F361" s="33"/>
      <c r="G361" s="33"/>
    </row>
    <row r="362" spans="1:7" x14ac:dyDescent="0.25">
      <c r="A362" s="71"/>
      <c r="B362" s="36"/>
      <c r="C362" s="33"/>
      <c r="D362" s="33"/>
      <c r="E362" s="33"/>
      <c r="F362" s="33"/>
      <c r="G362" s="33"/>
    </row>
    <row r="363" spans="1:7" x14ac:dyDescent="0.25">
      <c r="A363" s="71"/>
      <c r="B363" s="36"/>
      <c r="C363" s="33"/>
      <c r="D363" s="33"/>
      <c r="E363" s="33"/>
      <c r="F363" s="33"/>
      <c r="G363" s="33"/>
    </row>
  </sheetData>
  <mergeCells count="157">
    <mergeCell ref="G62:G63"/>
    <mergeCell ref="F230:F231"/>
    <mergeCell ref="B73:B74"/>
    <mergeCell ref="A73:A74"/>
    <mergeCell ref="C73:C74"/>
    <mergeCell ref="C62:C63"/>
    <mergeCell ref="B62:B63"/>
    <mergeCell ref="D62:D63"/>
    <mergeCell ref="E62:E63"/>
    <mergeCell ref="F62:F63"/>
    <mergeCell ref="C110:C113"/>
    <mergeCell ref="B122:B124"/>
    <mergeCell ref="C230:C231"/>
    <mergeCell ref="B189:B191"/>
    <mergeCell ref="C189:C191"/>
    <mergeCell ref="A189:A191"/>
    <mergeCell ref="A193:A194"/>
    <mergeCell ref="A226:A227"/>
    <mergeCell ref="A228:A229"/>
    <mergeCell ref="A220:A222"/>
    <mergeCell ref="A185:A186"/>
    <mergeCell ref="B185:B186"/>
    <mergeCell ref="C185:C186"/>
    <mergeCell ref="C234:C235"/>
    <mergeCell ref="H62:H63"/>
    <mergeCell ref="A62:A63"/>
    <mergeCell ref="C254:C255"/>
    <mergeCell ref="B173:B174"/>
    <mergeCell ref="E236:E237"/>
    <mergeCell ref="C236:C237"/>
    <mergeCell ref="C220:C222"/>
    <mergeCell ref="B220:B222"/>
    <mergeCell ref="B226:B227"/>
    <mergeCell ref="C226:C227"/>
    <mergeCell ref="B204:B206"/>
    <mergeCell ref="C204:C206"/>
    <mergeCell ref="B212:B214"/>
    <mergeCell ref="C212:C214"/>
    <mergeCell ref="B254:B255"/>
    <mergeCell ref="D173:D174"/>
    <mergeCell ref="C162:C163"/>
    <mergeCell ref="D230:D231"/>
    <mergeCell ref="E230:E231"/>
    <mergeCell ref="C251:C253"/>
    <mergeCell ref="E238:E239"/>
    <mergeCell ref="B251:B253"/>
    <mergeCell ref="A247:A249"/>
    <mergeCell ref="B244:B245"/>
    <mergeCell ref="C244:C245"/>
    <mergeCell ref="D244:D245"/>
    <mergeCell ref="A244:A245"/>
    <mergeCell ref="E173:E174"/>
    <mergeCell ref="C173:C174"/>
    <mergeCell ref="F173:F174"/>
    <mergeCell ref="G173:G174"/>
    <mergeCell ref="C145:C147"/>
    <mergeCell ref="A212:A214"/>
    <mergeCell ref="C193:C194"/>
    <mergeCell ref="A173:A174"/>
    <mergeCell ref="B193:B194"/>
    <mergeCell ref="B197:B198"/>
    <mergeCell ref="A197:A198"/>
    <mergeCell ref="C197:C198"/>
    <mergeCell ref="G230:G231"/>
    <mergeCell ref="A236:A237"/>
    <mergeCell ref="B236:B237"/>
    <mergeCell ref="B238:B239"/>
    <mergeCell ref="A238:A239"/>
    <mergeCell ref="C238:C239"/>
    <mergeCell ref="B234:B235"/>
    <mergeCell ref="A234:A235"/>
    <mergeCell ref="B162:B163"/>
    <mergeCell ref="B90:B91"/>
    <mergeCell ref="C90:C91"/>
    <mergeCell ref="C228:C229"/>
    <mergeCell ref="B228:B229"/>
    <mergeCell ref="B166:B167"/>
    <mergeCell ref="A166:A167"/>
    <mergeCell ref="C166:C167"/>
    <mergeCell ref="B168:B169"/>
    <mergeCell ref="A168:A169"/>
    <mergeCell ref="C168:C169"/>
    <mergeCell ref="A162:A163"/>
    <mergeCell ref="C200:C201"/>
    <mergeCell ref="B200:B201"/>
    <mergeCell ref="C24:C25"/>
    <mergeCell ref="B70:B71"/>
    <mergeCell ref="A70:A71"/>
    <mergeCell ref="A132:A134"/>
    <mergeCell ref="A129:A130"/>
    <mergeCell ref="A254:A255"/>
    <mergeCell ref="C122:C124"/>
    <mergeCell ref="B110:B113"/>
    <mergeCell ref="B86:B89"/>
    <mergeCell ref="B132:B134"/>
    <mergeCell ref="A86:A89"/>
    <mergeCell ref="A90:A91"/>
    <mergeCell ref="A92:A93"/>
    <mergeCell ref="A110:A113"/>
    <mergeCell ref="A122:A124"/>
    <mergeCell ref="A117:A119"/>
    <mergeCell ref="B92:B93"/>
    <mergeCell ref="C92:C93"/>
    <mergeCell ref="A204:A206"/>
    <mergeCell ref="A251:A253"/>
    <mergeCell ref="B247:B249"/>
    <mergeCell ref="C247:C249"/>
    <mergeCell ref="A230:A231"/>
    <mergeCell ref="B230:B231"/>
    <mergeCell ref="C117:C119"/>
    <mergeCell ref="A145:A147"/>
    <mergeCell ref="B145:B147"/>
    <mergeCell ref="A79:A82"/>
    <mergeCell ref="A6:H6"/>
    <mergeCell ref="D122:D124"/>
    <mergeCell ref="E132:E134"/>
    <mergeCell ref="E117:E119"/>
    <mergeCell ref="C58:C59"/>
    <mergeCell ref="A58:A59"/>
    <mergeCell ref="C79:C82"/>
    <mergeCell ref="B79:B82"/>
    <mergeCell ref="C132:C134"/>
    <mergeCell ref="C86:C89"/>
    <mergeCell ref="A21:A23"/>
    <mergeCell ref="B21:B23"/>
    <mergeCell ref="C21:C23"/>
    <mergeCell ref="G132:G134"/>
    <mergeCell ref="F117:F119"/>
    <mergeCell ref="G117:G119"/>
    <mergeCell ref="E122:E124"/>
    <mergeCell ref="F122:F124"/>
    <mergeCell ref="G122:G124"/>
    <mergeCell ref="B24:B25"/>
    <mergeCell ref="I62:I63"/>
    <mergeCell ref="I117:I119"/>
    <mergeCell ref="I122:I124"/>
    <mergeCell ref="I132:I134"/>
    <mergeCell ref="I173:I174"/>
    <mergeCell ref="I230:I231"/>
    <mergeCell ref="H230:H231"/>
    <mergeCell ref="H173:H174"/>
    <mergeCell ref="A24:A25"/>
    <mergeCell ref="B34:B36"/>
    <mergeCell ref="C34:C36"/>
    <mergeCell ref="A34:A36"/>
    <mergeCell ref="H117:H119"/>
    <mergeCell ref="H122:H124"/>
    <mergeCell ref="H132:H134"/>
    <mergeCell ref="D117:D119"/>
    <mergeCell ref="B38:B39"/>
    <mergeCell ref="A38:A39"/>
    <mergeCell ref="B58:B59"/>
    <mergeCell ref="F132:F134"/>
    <mergeCell ref="B129:B130"/>
    <mergeCell ref="C129:C130"/>
    <mergeCell ref="D132:D134"/>
    <mergeCell ref="B117:B119"/>
  </mergeCells>
  <printOptions horizontalCentered="1"/>
  <pageMargins left="0.35433070866141736" right="0.39370078740157483" top="0.35433070866141736" bottom="0.19685039370078741" header="0.15748031496062992" footer="0.19685039370078741"/>
  <pageSetup paperSize="9" scale="70" fitToHeight="30" orientation="landscape" r:id="rId1"/>
  <rowBreaks count="10" manualBreakCount="10">
    <brk id="47" max="8" man="1"/>
    <brk id="57" max="8" man="1"/>
    <brk id="76" max="8" man="1"/>
    <brk id="101" max="8" man="1"/>
    <brk id="116" max="8" man="1"/>
    <brk id="142" max="8" man="1"/>
    <brk id="163" max="8" man="1"/>
    <brk id="186" max="8" man="1"/>
    <brk id="207" max="8" man="1"/>
    <brk id="2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3</vt:lpstr>
      <vt:lpstr>приложение 4</vt:lpstr>
      <vt:lpstr>приложение 5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2025-04-15T03:36:58Z</dcterms:modified>
</cp:coreProperties>
</file>